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eutscheboerse-my.sharepoint.com/personal/jg354_deutsche-boerse_com/Documents/Desktop/"/>
    </mc:Choice>
  </mc:AlternateContent>
  <xr:revisionPtr revIDLastSave="0" documentId="14_{A40BC7F3-D681-40BB-95E0-7B0453775F91}" xr6:coauthVersionLast="47" xr6:coauthVersionMax="47" xr10:uidLastSave="{00000000-0000-0000-0000-000000000000}"/>
  <bookViews>
    <workbookView xWindow="-110" yWindow="-110" windowWidth="19420" windowHeight="10420" xr2:uid="{34E88518-914C-49CB-86FA-040D35682DCC}"/>
  </bookViews>
  <sheets>
    <sheet name="Sheet1" sheetId="1" r:id="rId1"/>
  </sheets>
  <definedNames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252606</definedName>
    <definedName name="_IDVTrackerMajorVersion72_" hidden="1">1</definedName>
    <definedName name="_IDVTrackerMinorVersion72_" hidden="1">0</definedName>
    <definedName name="_IDVTrackerVersion72_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55" i="1" l="1"/>
  <c r="A854" i="1"/>
  <c r="A853" i="1"/>
  <c r="A852" i="1"/>
  <c r="A851" i="1"/>
  <c r="A850" i="1"/>
  <c r="A849" i="1"/>
  <c r="A848" i="1"/>
  <c r="A847" i="1"/>
  <c r="A846" i="1"/>
  <c r="A845" i="1"/>
  <c r="A861" i="1"/>
  <c r="A860" i="1"/>
  <c r="A859" i="1"/>
  <c r="A858" i="1"/>
  <c r="A857" i="1"/>
  <c r="A856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699" i="1"/>
  <c r="A700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B861" i="1"/>
  <c r="C691" i="1"/>
  <c r="B734" i="1"/>
  <c r="B699" i="1"/>
  <c r="B720" i="1"/>
  <c r="C682" i="1"/>
  <c r="B680" i="1"/>
  <c r="B696" i="1"/>
  <c r="B716" i="1"/>
  <c r="C731" i="1"/>
  <c r="B682" i="1"/>
  <c r="B736" i="1"/>
  <c r="B702" i="1"/>
  <c r="C705" i="1"/>
  <c r="B712" i="1"/>
  <c r="B684" i="1"/>
  <c r="C730" i="1"/>
  <c r="B679" i="1"/>
  <c r="C689" i="1"/>
  <c r="C704" i="1"/>
  <c r="C727" i="1"/>
  <c r="B691" i="1"/>
  <c r="B693" i="1"/>
  <c r="C729" i="1"/>
  <c r="C715" i="1"/>
  <c r="B690" i="1"/>
  <c r="B719" i="1"/>
  <c r="B683" i="1"/>
  <c r="C720" i="1"/>
  <c r="C690" i="1"/>
  <c r="C714" i="1"/>
  <c r="C708" i="1"/>
  <c r="B717" i="1"/>
  <c r="B721" i="1"/>
  <c r="B724" i="1"/>
  <c r="B706" i="1"/>
  <c r="B718" i="1"/>
  <c r="B700" i="1"/>
  <c r="B707" i="1"/>
  <c r="C686" i="1"/>
  <c r="C728" i="1"/>
  <c r="B709" i="1"/>
  <c r="C688" i="1"/>
  <c r="B729" i="1"/>
  <c r="B695" i="1"/>
  <c r="B727" i="1"/>
  <c r="C711" i="1"/>
  <c r="C710" i="1"/>
  <c r="B694" i="1"/>
  <c r="C718" i="1"/>
  <c r="C683" i="1"/>
  <c r="B735" i="1"/>
  <c r="C679" i="1"/>
  <c r="B733" i="1"/>
  <c r="C707" i="1"/>
  <c r="C733" i="1"/>
  <c r="C684" i="1"/>
  <c r="B705" i="1"/>
  <c r="B723" i="1"/>
  <c r="B692" i="1"/>
  <c r="B704" i="1"/>
  <c r="C680" i="1"/>
  <c r="B730" i="1"/>
  <c r="B711" i="1"/>
  <c r="C685" i="1"/>
  <c r="C723" i="1"/>
  <c r="B713" i="1"/>
  <c r="B687" i="1"/>
  <c r="B731" i="1"/>
  <c r="C736" i="1"/>
  <c r="C693" i="1"/>
  <c r="B725" i="1"/>
  <c r="C706" i="1"/>
  <c r="B715" i="1"/>
  <c r="C681" i="1"/>
  <c r="C726" i="1"/>
  <c r="B726" i="1"/>
  <c r="C695" i="1"/>
  <c r="C725" i="1"/>
  <c r="B701" i="1"/>
  <c r="B703" i="1"/>
  <c r="B686" i="1"/>
  <c r="C734" i="1"/>
  <c r="C724" i="1"/>
  <c r="B728" i="1"/>
  <c r="C692" i="1"/>
  <c r="C719" i="1"/>
  <c r="B714" i="1"/>
  <c r="C717" i="1"/>
  <c r="B689" i="1"/>
  <c r="C716" i="1"/>
  <c r="B708" i="1"/>
  <c r="C732" i="1"/>
  <c r="B681" i="1"/>
  <c r="B732" i="1"/>
  <c r="C721" i="1"/>
  <c r="B685" i="1"/>
  <c r="C722" i="1"/>
  <c r="C735" i="1"/>
  <c r="C713" i="1"/>
  <c r="B722" i="1"/>
  <c r="B710" i="1"/>
  <c r="C687" i="1"/>
  <c r="C712" i="1"/>
  <c r="C709" i="1"/>
  <c r="B688" i="1"/>
  <c r="C694" i="1"/>
  <c r="B827" i="1"/>
  <c r="B830" i="1"/>
  <c r="C828" i="1"/>
  <c r="D824" i="1"/>
  <c r="D827" i="1"/>
  <c r="C818" i="1"/>
  <c r="B828" i="1"/>
  <c r="B823" i="1"/>
  <c r="B826" i="1"/>
  <c r="B820" i="1"/>
  <c r="D830" i="1"/>
  <c r="D826" i="1"/>
  <c r="D831" i="1"/>
  <c r="D823" i="1"/>
  <c r="C831" i="1"/>
  <c r="B819" i="1"/>
  <c r="B822" i="1"/>
  <c r="B829" i="1"/>
  <c r="D822" i="1"/>
  <c r="D818" i="1"/>
  <c r="B824" i="1"/>
  <c r="B831" i="1"/>
  <c r="C827" i="1"/>
  <c r="C830" i="1"/>
  <c r="B818" i="1"/>
  <c r="B825" i="1"/>
  <c r="D819" i="1"/>
  <c r="D825" i="1"/>
  <c r="D828" i="1"/>
  <c r="C821" i="1"/>
  <c r="C823" i="1"/>
  <c r="C826" i="1"/>
  <c r="C820" i="1"/>
  <c r="B821" i="1"/>
  <c r="D829" i="1"/>
  <c r="D817" i="1"/>
  <c r="C819" i="1"/>
  <c r="C822" i="1"/>
  <c r="C829" i="1"/>
  <c r="C824" i="1"/>
  <c r="D821" i="1"/>
  <c r="C825" i="1"/>
  <c r="D820" i="1"/>
</calcChain>
</file>

<file path=xl/sharedStrings.xml><?xml version="1.0" encoding="utf-8"?>
<sst xmlns="http://schemas.openxmlformats.org/spreadsheetml/2006/main" count="7" uniqueCount="6">
  <si>
    <t>Date</t>
  </si>
  <si>
    <t>Close</t>
  </si>
  <si>
    <t>Emissionsberechtigungen am Terminmarkt</t>
  </si>
  <si>
    <t>EUA Futures Dezember 2023 EUR/tCO2</t>
  </si>
  <si>
    <t>EUA Futures Dezember 2024 EUR/tCO2</t>
  </si>
  <si>
    <t>EUA Futures Dezember 2025 EUR/tCO2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</si>
</sst>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2" fontId="2" fillId="0" borderId="0" xfId="0" applyNumberFormat="1" applyFont="1"/>
    <xf numFmtId="14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storm.rtd">
      <tp>
        <v>76.16</v>
        <stp>pc99091</stp>
        <stp>daily</stp>
        <stp>/E.FEUAZ23</stp>
        <stp>Close</stp>
        <stp>9/16/2022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1" s="1"/>
        <tr r="B711" s="1"/>
      </tp>
      <tp>
        <v>94.710000000000008</v>
        <stp>pc99091</stp>
        <stp>daily</stp>
        <stp>/E.FEUAZ23</stp>
        <stp>Close</stp>
        <stp>8/16/2022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8" s="1"/>
        <tr r="B688" s="1"/>
      </tp>
      <tp>
        <v>98.570000000000007</v>
        <stp>pc99091</stp>
        <stp>daily</stp>
        <stp>/E.FEUAZ23</stp>
        <stp>Close</stp>
        <stp>8/17/2022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9" s="1"/>
        <tr r="B689" s="1"/>
      </tp>
      <tp>
        <v>75.3</v>
        <stp>pc99091</stp>
        <stp>daily</stp>
        <stp>/E.FEUAZ23</stp>
        <stp>Close</stp>
        <stp>9/14/2022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9" s="1"/>
        <tr r="B709" s="1"/>
      </tp>
      <tp>
        <v>74.650000000000006</v>
        <stp>pc99091</stp>
        <stp>daily</stp>
        <stp>/E.FEUAZ23</stp>
        <stp>Close</stp>
        <stp>9/15/2022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0" s="1"/>
        <tr r="B710" s="1"/>
      </tp>
      <tp>
        <v>93.42</v>
        <stp>pc99091</stp>
        <stp>daily</stp>
        <stp>/E.FEUAZ23</stp>
        <stp>Close</stp>
        <stp>8/15/2022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7" s="1"/>
        <tr r="B687" s="1"/>
      </tp>
      <tp>
        <v>74.48</v>
        <stp>pc99091</stp>
        <stp>daily</stp>
        <stp>/E.FEUAZ23</stp>
        <stp>Close</stp>
        <stp>9/12/2022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7" s="1"/>
        <tr r="B707" s="1"/>
      </tp>
      <tp>
        <v>91.38</v>
        <stp>pc99091</stp>
        <stp>daily</stp>
        <stp>/E.FEUAZ23</stp>
        <stp>Close</stp>
        <stp>8/12/2022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6" s="1"/>
        <tr r="B686" s="1"/>
      </tp>
      <tp>
        <v>72.41</v>
        <stp>pc99091</stp>
        <stp>daily</stp>
        <stp>/E.FEUAZ23</stp>
        <stp>Close</stp>
        <stp>9/13/2022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8" s="1"/>
        <tr r="B708" s="1"/>
      </tp>
      <tp>
        <v>88.4</v>
        <stp>pc99091</stp>
        <stp>daily</stp>
        <stp>/E.FEUAZ23</stp>
        <stp>Close</stp>
        <stp>8/10/2022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4" s="1"/>
        <tr r="B684" s="1"/>
      </tp>
      <tp>
        <v>90.04</v>
        <stp>pc99091</stp>
        <stp>daily</stp>
        <stp>/E.FEUAZ23</stp>
        <stp>Close</stp>
        <stp>8/11/2022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5" s="1"/>
        <tr r="B685" s="1"/>
      </tp>
      <tp>
        <v>98.83</v>
        <stp>pc99091</stp>
        <stp>daily</stp>
        <stp>/E.FEUAZ23</stp>
        <stp>Close</stp>
        <stp>8/18/2022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90" s="1"/>
        <tr r="B690" s="1"/>
      </tp>
      <tp>
        <v>74.05</v>
        <stp>pc99091</stp>
        <stp>daily</stp>
        <stp>/E.FEUAZ23</stp>
        <stp>Close</stp>
        <stp>9/19/2022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2" s="1"/>
        <tr r="B712" s="1"/>
      </tp>
      <tp>
        <v>100.8</v>
        <stp>pc99091</stp>
        <stp>daily</stp>
        <stp>/E.FEUAZ23</stp>
        <stp>Close</stp>
        <stp>8/19/2022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91" s="1"/>
        <tr r="B691" s="1"/>
      </tp>
      <tp>
        <v>69.650000000000006</v>
        <stp>pc99091</stp>
        <stp>daily</stp>
        <stp>/E.FEUAZ23</stp>
        <stp>Close</stp>
        <stp>9/30/2022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1" s="1"/>
        <tr r="B721" s="1"/>
      </tp>
      <tp>
        <v>83.11</v>
        <stp>pc99091</stp>
        <stp>daily</stp>
        <stp>/E.FEUAZ23</stp>
        <stp>Close</stp>
        <stp>8/31/2022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99" s="1"/>
        <tr r="B699" s="1"/>
      </tp>
      <tp>
        <v>73.31</v>
        <stp>pc99091</stp>
        <stp>daily</stp>
        <stp>/E.FEUAZ23</stp>
        <stp>Close</stp>
        <stp>9/26/2022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7" s="1"/>
        <tr r="B717" s="1"/>
      </tp>
      <tp>
        <v>93.47</v>
        <stp>pc99091</stp>
        <stp>daily</stp>
        <stp>/E.FEUAZ23</stp>
        <stp>Close</stp>
        <stp>8/26/2022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96" s="1"/>
        <tr r="B696" s="1"/>
      </tp>
      <tp>
        <v>70.95</v>
        <stp>pc99091</stp>
        <stp>daily</stp>
        <stp>/E.FEUAZ23</stp>
        <stp>Close</stp>
        <stp>9/27/2022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8" s="1"/>
        <tr r="B718" s="1"/>
      </tp>
      <tp>
        <v>92.22</v>
        <stp>pc99091</stp>
        <stp>daily</stp>
        <stp>/E.FEUAZ23</stp>
        <stp>Close</stp>
        <stp>8/24/2022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94" s="1"/>
        <tr r="B694" s="1"/>
      </tp>
      <tp>
        <v>92.33</v>
        <stp>pc99091</stp>
        <stp>daily</stp>
        <stp>/E.FEUAZ23</stp>
        <stp>Close</stp>
        <stp>8/25/2022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95" s="1"/>
        <tr r="B695" s="1"/>
      </tp>
      <tp>
        <v>73.44</v>
        <stp>pc99091</stp>
        <stp>daily</stp>
        <stp>/E.FEUAZ23</stp>
        <stp>Close</stp>
        <stp>9/22/2022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5" s="1"/>
        <tr r="B715" s="1"/>
      </tp>
      <tp>
        <v>94.95</v>
        <stp>pc99091</stp>
        <stp>daily</stp>
        <stp>/E.FEUAZ23</stp>
        <stp>Close</stp>
        <stp>8/22/2022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92" s="1"/>
        <tr r="B692" s="1"/>
      </tp>
      <tp>
        <v>68.73</v>
        <stp>pc99091</stp>
        <stp>daily</stp>
        <stp>/E.FEUAZ23</stp>
        <stp>Close</stp>
        <stp>9/23/2022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6" s="1"/>
        <tr r="B716" s="1"/>
      </tp>
      <tp>
        <v>92.100000000000009</v>
        <stp>pc99091</stp>
        <stp>daily</stp>
        <stp>/E.FEUAZ23</stp>
        <stp>Close</stp>
        <stp>8/23/2022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93" s="1"/>
        <tr r="B693" s="1"/>
      </tp>
      <tp>
        <v>74.11</v>
        <stp>pc99091</stp>
        <stp>daily</stp>
        <stp>/E.FEUAZ23</stp>
        <stp>Close</stp>
        <stp>9/20/2022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3" s="1"/>
        <tr r="B713" s="1"/>
      </tp>
      <tp>
        <v>72.760000000000005</v>
        <stp>pc99091</stp>
        <stp>daily</stp>
        <stp>/E.FEUAZ23</stp>
        <stp>Close</stp>
        <stp>9/21/2022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4" s="1"/>
        <tr r="B714" s="1"/>
      </tp>
      <tp>
        <v>68.08</v>
        <stp>pc99091</stp>
        <stp>daily</stp>
        <stp>/E.FEUAZ23</stp>
        <stp>Close</stp>
        <stp>9/28/2022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19" s="1"/>
        <tr r="B719" s="1"/>
      </tp>
      <tp>
        <v>68.67</v>
        <stp>pc99091</stp>
        <stp>daily</stp>
        <stp>/E.FEUAZ23</stp>
        <stp>Close</stp>
        <stp>9/29/2022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0" s="1"/>
        <tr r="B720" s="1"/>
      </tp>
      <tp>
        <v>101.95</v>
        <stp>pc99091</stp>
        <stp>daily</stp>
        <stp>/E.FEUAZ24</stp>
        <stp>Close</stp>
        <stp>3/1/2023 12:00:00 AM</stp>
        <stp/>
        <stp/>
        <stp/>
        <stp/>
        <stp/>
        <stp/>
        <stp/>
        <stp/>
        <stp/>
        <stp>/E.FEUAZ24</stp>
        <stp>Hundredths</stp>
        <stp/>
        <stp>False</stp>
        <tr r="C829" s="1"/>
        <tr r="C829" s="1"/>
      </tp>
      <tp>
        <v>97.09</v>
        <stp>pc99091</stp>
        <stp>daily</stp>
        <stp>/E.FEUAZ24</stp>
        <stp>Close</stp>
        <stp>3/3/2023 12:00:00 AM</stp>
        <stp/>
        <stp/>
        <stp/>
        <stp/>
        <stp/>
        <stp/>
        <stp/>
        <stp/>
        <stp/>
        <stp>/E.FEUAZ24</stp>
        <stp>Hundredths</stp>
        <stp/>
        <stp>False</stp>
        <tr r="C831" s="1"/>
        <tr r="C831" s="1"/>
      </tp>
      <tp>
        <v>98.34</v>
        <stp>pc99091</stp>
        <stp>daily</stp>
        <stp>/E.FEUAZ24</stp>
        <stp>Close</stp>
        <stp>3/2/2023 12:00:00 AM</stp>
        <stp/>
        <stp/>
        <stp/>
        <stp/>
        <stp/>
        <stp/>
        <stp/>
        <stp/>
        <stp/>
        <stp>/E.FEUAZ24</stp>
        <stp>Hundredths</stp>
        <stp/>
        <stp>False</stp>
        <tr r="C830" s="1"/>
        <tr r="C830" s="1"/>
      </tp>
      <tp>
        <v>106.97</v>
        <stp>pc99091</stp>
        <stp>daily</stp>
        <stp>/E.FEUAZ25</stp>
        <stp>Close</stp>
        <stp>3/1/2023 12:00:00 AM</stp>
        <stp/>
        <stp/>
        <stp/>
        <stp/>
        <stp/>
        <stp/>
        <stp/>
        <stp/>
        <stp/>
        <stp>/E.FEUAZ25</stp>
        <stp>Hundredths</stp>
        <stp/>
        <stp>False</stp>
        <tr r="D829" s="1"/>
        <tr r="D829" s="1"/>
      </tp>
      <tp>
        <v>102.12</v>
        <stp>pc99091</stp>
        <stp>daily</stp>
        <stp>/E.FEUAZ25</stp>
        <stp>Close</stp>
        <stp>3/3/2023 12:00:00 AM</stp>
        <stp/>
        <stp/>
        <stp/>
        <stp/>
        <stp/>
        <stp/>
        <stp/>
        <stp/>
        <stp/>
        <stp>/E.FEUAZ25</stp>
        <stp>Hundredths</stp>
        <stp/>
        <stp>False</stp>
        <tr r="D831" s="1"/>
        <tr r="D831" s="1"/>
      </tp>
      <tp>
        <v>103.4</v>
        <stp>pc99091</stp>
        <stp>daily</stp>
        <stp>/E.FEUAZ25</stp>
        <stp>Close</stp>
        <stp>3/2/2023 12:00:00 AM</stp>
        <stp/>
        <stp/>
        <stp/>
        <stp/>
        <stp/>
        <stp/>
        <stp/>
        <stp/>
        <stp/>
        <stp>/E.FEUAZ25</stp>
        <stp>Hundredths</stp>
        <stp/>
        <stp>False</stp>
        <tr r="D830" s="1"/>
        <tr r="D830" s="1"/>
      </tp>
      <tp>
        <v>96.92</v>
        <stp>pc99091</stp>
        <stp>daily</stp>
        <stp>/E.FEUAZ23</stp>
        <stp>Close</stp>
        <stp>3/1/2023 12:00:00 AM</stp>
        <stp/>
        <stp/>
        <stp/>
        <stp/>
        <stp/>
        <stp/>
        <stp/>
        <stp/>
        <stp/>
        <stp>/E.FEUAZ23</stp>
        <stp>Hundredths</stp>
        <stp/>
        <stp>False</stp>
        <tr r="B829" s="1"/>
        <tr r="B829" s="1"/>
      </tp>
      <tp>
        <v>92.18</v>
        <stp>pc99091</stp>
        <stp>daily</stp>
        <stp>/E.FEUAZ23</stp>
        <stp>Close</stp>
        <stp>3/3/2023 12:00:00 AM</stp>
        <stp/>
        <stp/>
        <stp/>
        <stp/>
        <stp/>
        <stp/>
        <stp/>
        <stp/>
        <stp/>
        <stp>/E.FEUAZ23</stp>
        <stp>Hundredths</stp>
        <stp/>
        <stp>False</stp>
        <tr r="B831" s="1"/>
        <tr r="B831" s="1"/>
      </tp>
      <tp>
        <v>93.38</v>
        <stp>pc99091</stp>
        <stp>daily</stp>
        <stp>/E.FEUAZ23</stp>
        <stp>Close</stp>
        <stp>3/2/2023 12:00:00 AM</stp>
        <stp/>
        <stp/>
        <stp/>
        <stp/>
        <stp/>
        <stp/>
        <stp/>
        <stp/>
        <stp/>
        <stp>/E.FEUAZ23</stp>
        <stp>Hundredths</stp>
        <stp/>
        <stp>False</stp>
        <tr r="B830" s="1"/>
        <tr r="B830" s="1"/>
      </tp>
      <tp>
        <v>98.960000000000008</v>
        <stp>pc99091</stp>
        <stp>daily</stp>
        <stp>/E.FEUAZ24</stp>
        <stp>Close</stp>
        <stp>8/16/2022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8" s="1"/>
        <tr r="C688" s="1"/>
      </tp>
      <tp>
        <v>80.59</v>
        <stp>pc99091</stp>
        <stp>daily</stp>
        <stp>/E.FEUAZ24</stp>
        <stp>Close</stp>
        <stp>9/16/2022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1" s="1"/>
        <tr r="C711" s="1"/>
      </tp>
      <tp>
        <v>103.01</v>
        <stp>pc99091</stp>
        <stp>daily</stp>
        <stp>/E.FEUAZ24</stp>
        <stp>Close</stp>
        <stp>8/17/2022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9" s="1"/>
        <tr r="C689" s="1"/>
      </tp>
      <tp>
        <v>79.75</v>
        <stp>pc99091</stp>
        <stp>daily</stp>
        <stp>/E.FEUAZ24</stp>
        <stp>Close</stp>
        <stp>9/14/2022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09" s="1"/>
        <tr r="C709" s="1"/>
      </tp>
      <tp>
        <v>97.64</v>
        <stp>pc99091</stp>
        <stp>daily</stp>
        <stp>/E.FEUAZ24</stp>
        <stp>Close</stp>
        <stp>8/15/2022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7" s="1"/>
        <tr r="C687" s="1"/>
      </tp>
      <tp>
        <v>79.08</v>
        <stp>pc99091</stp>
        <stp>daily</stp>
        <stp>/E.FEUAZ24</stp>
        <stp>Close</stp>
        <stp>9/15/2022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0" s="1"/>
        <tr r="C710" s="1"/>
      </tp>
      <tp>
        <v>95.570000000000007</v>
        <stp>pc99091</stp>
        <stp>daily</stp>
        <stp>/E.FEUAZ24</stp>
        <stp>Close</stp>
        <stp>8/12/2022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6" s="1"/>
        <tr r="C686" s="1"/>
      </tp>
      <tp>
        <v>78.84</v>
        <stp>pc99091</stp>
        <stp>daily</stp>
        <stp>/E.FEUAZ24</stp>
        <stp>Close</stp>
        <stp>9/12/2022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07" s="1"/>
        <tr r="C707" s="1"/>
      </tp>
      <tp>
        <v>76.77</v>
        <stp>pc99091</stp>
        <stp>daily</stp>
        <stp>/E.FEUAZ24</stp>
        <stp>Close</stp>
        <stp>9/13/2022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08" s="1"/>
        <tr r="C708" s="1"/>
      </tp>
      <tp>
        <v>92.49</v>
        <stp>pc99091</stp>
        <stp>daily</stp>
        <stp>/E.FEUAZ24</stp>
        <stp>Close</stp>
        <stp>8/10/2022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4" s="1"/>
        <tr r="C684" s="1"/>
      </tp>
      <tp>
        <v>94.14</v>
        <stp>pc99091</stp>
        <stp>daily</stp>
        <stp>/E.FEUAZ24</stp>
        <stp>Close</stp>
        <stp>8/11/2022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5" s="1"/>
        <tr r="C685" s="1"/>
      </tp>
      <tp>
        <v>103.43</v>
        <stp>pc99091</stp>
        <stp>daily</stp>
        <stp>/E.FEUAZ24</stp>
        <stp>Close</stp>
        <stp>8/18/2022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90" s="1"/>
        <tr r="C690" s="1"/>
      </tp>
      <tp>
        <v>105.95</v>
        <stp>pc99091</stp>
        <stp>daily</stp>
        <stp>/E.FEUAZ24</stp>
        <stp>Close</stp>
        <stp>8/19/2022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91" s="1"/>
        <tr r="C691" s="1"/>
      </tp>
      <tp>
        <v>78.39</v>
        <stp>pc99091</stp>
        <stp>daily</stp>
        <stp>/E.FEUAZ24</stp>
        <stp>Close</stp>
        <stp>9/19/2022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2" s="1"/>
        <tr r="C712" s="1"/>
      </tp>
      <tp>
        <v>74.31</v>
        <stp>pc99091</stp>
        <stp>daily</stp>
        <stp>/E.FEUAZ24</stp>
        <stp>Close</stp>
        <stp>9/30/2022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1" s="1"/>
        <tr r="C721" s="1"/>
      </tp>
      <tp>
        <v>77.900000000000006</v>
        <stp>pc99091</stp>
        <stp>daily</stp>
        <stp>/E.FEUAZ24</stp>
        <stp>Close</stp>
        <stp>9/26/2022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7" s="1"/>
        <tr r="C717" s="1"/>
      </tp>
      <tp>
        <v>75.45</v>
        <stp>pc99091</stp>
        <stp>daily</stp>
        <stp>/E.FEUAZ24</stp>
        <stp>Close</stp>
        <stp>9/27/2022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8" s="1"/>
        <tr r="C718" s="1"/>
      </tp>
      <tp>
        <v>97.22</v>
        <stp>pc99091</stp>
        <stp>daily</stp>
        <stp>/E.FEUAZ24</stp>
        <stp>Close</stp>
        <stp>8/24/2022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94" s="1"/>
        <tr r="C694" s="1"/>
      </tp>
      <tp>
        <v>97.22</v>
        <stp>pc99091</stp>
        <stp>daily</stp>
        <stp>/E.FEUAZ24</stp>
        <stp>Close</stp>
        <stp>8/25/2022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95" s="1"/>
        <tr r="C695" s="1"/>
      </tp>
      <tp>
        <v>99.850000000000009</v>
        <stp>pc99091</stp>
        <stp>daily</stp>
        <stp>/E.FEUAZ24</stp>
        <stp>Close</stp>
        <stp>8/22/2022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92" s="1"/>
        <tr r="C692" s="1"/>
      </tp>
      <tp>
        <v>77.87</v>
        <stp>pc99091</stp>
        <stp>daily</stp>
        <stp>/E.FEUAZ24</stp>
        <stp>Close</stp>
        <stp>9/22/2022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5" s="1"/>
        <tr r="C715" s="1"/>
      </tp>
      <tp>
        <v>97.02</v>
        <stp>pc99091</stp>
        <stp>daily</stp>
        <stp>/E.FEUAZ24</stp>
        <stp>Close</stp>
        <stp>8/23/2022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93" s="1"/>
        <tr r="C693" s="1"/>
      </tp>
      <tp>
        <v>73.150000000000006</v>
        <stp>pc99091</stp>
        <stp>daily</stp>
        <stp>/E.FEUAZ24</stp>
        <stp>Close</stp>
        <stp>9/23/2022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6" s="1"/>
        <tr r="C716" s="1"/>
      </tp>
      <tp>
        <v>78.510000000000005</v>
        <stp>pc99091</stp>
        <stp>daily</stp>
        <stp>/E.FEUAZ24</stp>
        <stp>Close</stp>
        <stp>9/20/2022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3" s="1"/>
        <tr r="C713" s="1"/>
      </tp>
      <tp>
        <v>77.19</v>
        <stp>pc99091</stp>
        <stp>daily</stp>
        <stp>/E.FEUAZ24</stp>
        <stp>Close</stp>
        <stp>9/21/2022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4" s="1"/>
        <tr r="C714" s="1"/>
      </tp>
      <tp>
        <v>72.62</v>
        <stp>pc99091</stp>
        <stp>daily</stp>
        <stp>/E.FEUAZ24</stp>
        <stp>Close</stp>
        <stp>9/28/2022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19" s="1"/>
        <tr r="C719" s="1"/>
      </tp>
      <tp>
        <v>73.37</v>
        <stp>pc99091</stp>
        <stp>daily</stp>
        <stp>/E.FEUAZ24</stp>
        <stp>Close</stp>
        <stp>9/29/2022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0" s="1"/>
        <tr r="C720" s="1"/>
      </tp>
      <tp>
        <v>69.760000000000005</v>
        <stp>pc99091</stp>
        <stp>daily</stp>
        <stp>/E.FEUAZ23</stp>
        <stp>Close</stp>
        <stp>9/8/2022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5" s="1"/>
        <tr r="B705" s="1"/>
      </tp>
      <tp>
        <v>74.5</v>
        <stp>pc99091</stp>
        <stp>daily</stp>
        <stp>/E.FEUAZ24</stp>
        <stp>Close</stp>
        <stp>9/8/2022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05" s="1"/>
        <tr r="C705" s="1"/>
      </tp>
      <tp>
        <v>68.7</v>
        <stp>pc99091</stp>
        <stp>daily</stp>
        <stp>/E.FEUAZ23</stp>
        <stp>Close</stp>
        <stp>9/9/2022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6" s="1"/>
        <tr r="B706" s="1"/>
      </tp>
      <tp>
        <v>73.25</v>
        <stp>pc99091</stp>
        <stp>daily</stp>
        <stp>/E.FEUAZ24</stp>
        <stp>Close</stp>
        <stp>9/9/2022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06" s="1"/>
        <tr r="C706" s="1"/>
      </tp>
      <tp>
        <v>83.89</v>
        <stp>pc99091</stp>
        <stp>daily</stp>
        <stp>/E.FEUAZ23</stp>
        <stp>Close</stp>
        <stp>9/1/2022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0" s="1"/>
        <tr r="B700" s="1"/>
      </tp>
      <tp>
        <v>80.92</v>
        <stp>pc99091</stp>
        <stp>daily</stp>
        <stp>/E.FEUAZ23</stp>
        <stp>Close</stp>
        <stp>9/2/2022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1" s="1"/>
        <tr r="B701" s="1"/>
      </tp>
      <tp>
        <v>77.52</v>
        <stp>pc99091</stp>
        <stp>daily</stp>
        <stp>/E.FEUAZ23</stp>
        <stp>Close</stp>
        <stp>9/5/2022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2" s="1"/>
        <tr r="B702" s="1"/>
      </tp>
      <tp>
        <v>72.8</v>
        <stp>pc99091</stp>
        <stp>daily</stp>
        <stp>/E.FEUAZ23</stp>
        <stp>Close</stp>
        <stp>9/6/2022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3" s="1"/>
        <tr r="B703" s="1"/>
      </tp>
      <tp>
        <v>71.91</v>
        <stp>pc99091</stp>
        <stp>daily</stp>
        <stp>/E.FEUAZ23</stp>
        <stp>Close</stp>
        <stp>9/7/2022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04" s="1"/>
        <tr r="B704" s="1"/>
      </tp>
      <tp>
        <v>76.87</v>
        <stp>pc99091</stp>
        <stp>daily</stp>
        <stp>/E.FEUAZ24</stp>
        <stp>Close</stp>
        <stp>9/7/2022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04" s="1"/>
        <tr r="C704" s="1"/>
      </tp>
      <tp>
        <v>86.22</v>
        <stp>pc99091</stp>
        <stp>daily</stp>
        <stp>/E.FEUAZ23</stp>
        <stp>Close</stp>
        <stp>8/8/2022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2" s="1"/>
        <tr r="B682" s="1"/>
      </tp>
      <tp>
        <v>90.11</v>
        <stp>pc99091</stp>
        <stp>daily</stp>
        <stp>/E.FEUAZ24</stp>
        <stp>Close</stp>
        <stp>8/8/2022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2" s="1"/>
        <tr r="C682" s="1"/>
      </tp>
      <tp>
        <v>88.43</v>
        <stp>pc99091</stp>
        <stp>daily</stp>
        <stp>/E.FEUAZ23</stp>
        <stp>Close</stp>
        <stp>8/9/2022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3" s="1"/>
        <tr r="B683" s="1"/>
      </tp>
      <tp>
        <v>92.49</v>
        <stp>pc99091</stp>
        <stp>daily</stp>
        <stp>/E.FEUAZ24</stp>
        <stp>Close</stp>
        <stp>8/9/2022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3" s="1"/>
        <tr r="C683" s="1"/>
      </tp>
      <tp>
        <v>86.3</v>
        <stp>pc99091</stp>
        <stp>daily</stp>
        <stp>/E.FEUAZ23</stp>
        <stp>Close</stp>
        <stp>8/3/2022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79" s="1"/>
        <tr r="B679" s="1"/>
      </tp>
      <tp>
        <v>90.070000000000007</v>
        <stp>pc99091</stp>
        <stp>daily</stp>
        <stp>/E.FEUAZ24</stp>
        <stp>Close</stp>
        <stp>8/3/2022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79" s="1"/>
        <tr r="C679" s="1"/>
      </tp>
      <tp>
        <v>86.56</v>
        <stp>pc99091</stp>
        <stp>daily</stp>
        <stp>/E.FEUAZ23</stp>
        <stp>Close</stp>
        <stp>8/4/2022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0" s="1"/>
        <tr r="B680" s="1"/>
      </tp>
      <tp>
        <v>90.350000000000009</v>
        <stp>pc99091</stp>
        <stp>daily</stp>
        <stp>/E.FEUAZ24</stp>
        <stp>Close</stp>
        <stp>8/4/2022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0" s="1"/>
        <tr r="C680" s="1"/>
      </tp>
      <tp>
        <v>87.16</v>
        <stp>pc99091</stp>
        <stp>daily</stp>
        <stp>/E.FEUAZ23</stp>
        <stp>Close</stp>
        <stp>8/5/2022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681" s="1"/>
        <tr r="B681" s="1"/>
      </tp>
      <tp>
        <v>91.03</v>
        <stp>pc99091</stp>
        <stp>daily</stp>
        <stp>/E.FEUAZ24</stp>
        <stp>Close</stp>
        <stp>8/5/2022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681" s="1"/>
        <tr r="C681" s="1"/>
      </tp>
      <tp>
        <v>76.180000000000007</v>
        <stp>pc99091</stp>
        <stp>daily</stp>
        <stp>/E.FEUAZ24</stp>
        <stp>Close</stp>
        <stp>10/6/2022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5" s="1"/>
        <tr r="C725" s="1"/>
      </tp>
      <tp>
        <v>77.150000000000006</v>
        <stp>pc99091</stp>
        <stp>daily</stp>
        <stp>/E.FEUAZ24</stp>
        <stp>Close</stp>
        <stp>10/7/2022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6" s="1"/>
        <tr r="C726" s="1"/>
      </tp>
      <tp>
        <v>74.28</v>
        <stp>pc99091</stp>
        <stp>daily</stp>
        <stp>/E.FEUAZ24</stp>
        <stp>Close</stp>
        <stp>10/4/2022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3" s="1"/>
        <tr r="C723" s="1"/>
      </tp>
      <tp>
        <v>74.39</v>
        <stp>pc99091</stp>
        <stp>daily</stp>
        <stp>/E.FEUAZ24</stp>
        <stp>Close</stp>
        <stp>10/5/2022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4" s="1"/>
        <tr r="C724" s="1"/>
      </tp>
      <tp>
        <v>73.460000000000008</v>
        <stp>pc99091</stp>
        <stp>daily</stp>
        <stp>/E.FEUAZ24</stp>
        <stp>Close</stp>
        <stp>10/3/2022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2" s="1"/>
        <tr r="C722" s="1"/>
      </tp>
      <tp>
        <v>71.62</v>
        <stp>pc99091</stp>
        <stp>daily</stp>
        <stp>/E.FEUAZ23</stp>
        <stp>Close</stp>
        <stp>10/6/2022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5" s="1"/>
        <tr r="B725" s="1"/>
      </tp>
      <tp>
        <v>72.62</v>
        <stp>pc99091</stp>
        <stp>daily</stp>
        <stp>/E.FEUAZ23</stp>
        <stp>Close</stp>
        <stp>10/7/2022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6" s="1"/>
        <tr r="B726" s="1"/>
      </tp>
      <tp>
        <v>69.63</v>
        <stp>pc99091</stp>
        <stp>daily</stp>
        <stp>/E.FEUAZ23</stp>
        <stp>Close</stp>
        <stp>10/4/2022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3" s="1"/>
        <tr r="B723" s="1"/>
      </tp>
      <tp>
        <v>69.760000000000005</v>
        <stp>pc99091</stp>
        <stp>daily</stp>
        <stp>/E.FEUAZ23</stp>
        <stp>Close</stp>
        <stp>10/5/2022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4" s="1"/>
        <tr r="B724" s="1"/>
      </tp>
      <tp>
        <v>68.78</v>
        <stp>pc99091</stp>
        <stp>daily</stp>
        <stp>/E.FEUAZ23</stp>
        <stp>Close</stp>
        <stp>10/3/2022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2" s="1"/>
        <tr r="B722" s="1"/>
      </tp>
      <tp t="s">
        <v>Unknown field ''</v>
        <stp>pc99091</stp>
        <stp>daily</stp>
        <stp>/E.FEUAZ23</stp>
        <stp/>
        <stp>4/14/2023 12:00:00 AM</stp>
        <stp/>
        <stp/>
        <stp/>
        <stp/>
        <stp/>
        <stp/>
        <stp/>
        <stp/>
        <stp/>
        <stp>/E.FEUAZ23</stp>
        <stp>Hundredths</stp>
        <stp/>
        <stp>False</stp>
        <tr r="B861" s="1"/>
        <tr r="B861" s="1"/>
      </tp>
      <tp>
        <v>99.8</v>
        <stp>pc99091</stp>
        <stp>daily</stp>
        <stp>/E.FEUAZ23</stp>
        <stp>Close</stp>
        <stp>2/28/2023 12:00:00 AM</stp>
        <stp/>
        <stp/>
        <stp/>
        <stp/>
        <stp/>
        <stp/>
        <stp/>
        <stp/>
        <stp/>
        <stp>/E.FEUAZ23</stp>
        <stp>Hundredths</stp>
        <stp/>
        <stp>False</stp>
        <tr r="B828" s="1"/>
        <tr r="B828" s="1"/>
      </tp>
      <tp>
        <v>104.8</v>
        <stp>pc99091</stp>
        <stp>daily</stp>
        <stp>/E.FEUAZ24</stp>
        <stp>Close</stp>
        <stp>2/28/2023 12:00:00 AM</stp>
        <stp/>
        <stp/>
        <stp/>
        <stp/>
        <stp/>
        <stp/>
        <stp/>
        <stp/>
        <stp/>
        <stp>/E.FEUAZ24</stp>
        <stp>Hundredths</stp>
        <stp/>
        <stp>False</stp>
        <tr r="C828" s="1"/>
        <tr r="C828" s="1"/>
      </tp>
      <tp>
        <v>109.73</v>
        <stp>pc99091</stp>
        <stp>daily</stp>
        <stp>/E.FEUAZ25</stp>
        <stp>Close</stp>
        <stp>2/28/2023 12:00:00 AM</stp>
        <stp/>
        <stp/>
        <stp/>
        <stp/>
        <stp/>
        <stp/>
        <stp/>
        <stp/>
        <stp/>
        <stp>/E.FEUAZ25</stp>
        <stp>Hundredths</stp>
        <stp/>
        <stp>False</stp>
        <tr r="D828" s="1"/>
        <tr r="D828" s="1"/>
      </tp>
      <tp>
        <v>97.58</v>
        <stp>pc99091</stp>
        <stp>daily</stp>
        <stp>/E.FEUAZ23</stp>
        <stp>Close</stp>
        <stp>2/23/2023 12:00:00 AM</stp>
        <stp/>
        <stp/>
        <stp/>
        <stp/>
        <stp/>
        <stp/>
        <stp/>
        <stp/>
        <stp/>
        <stp>/E.FEUAZ23</stp>
        <stp>Hundredths</stp>
        <stp/>
        <stp>False</stp>
        <tr r="B825" s="1"/>
        <tr r="B825" s="1"/>
      </tp>
      <tp>
        <v>102.26</v>
        <stp>pc99091</stp>
        <stp>daily</stp>
        <stp>/E.FEUAZ24</stp>
        <stp>Close</stp>
        <stp>2/23/2023 12:00:00 AM</stp>
        <stp/>
        <stp/>
        <stp/>
        <stp/>
        <stp/>
        <stp/>
        <stp/>
        <stp/>
        <stp/>
        <stp>/E.FEUAZ24</stp>
        <stp>Hundredths</stp>
        <stp/>
        <stp>False</stp>
        <tr r="C825" s="1"/>
        <tr r="C825" s="1"/>
      </tp>
      <tp>
        <v>106.84</v>
        <stp>pc99091</stp>
        <stp>daily</stp>
        <stp>/E.FEUAZ25</stp>
        <stp>Close</stp>
        <stp>2/23/2023 12:00:00 AM</stp>
        <stp/>
        <stp/>
        <stp/>
        <stp/>
        <stp/>
        <stp/>
        <stp/>
        <stp/>
        <stp/>
        <stp>/E.FEUAZ25</stp>
        <stp>Hundredths</stp>
        <stp/>
        <stp>False</stp>
        <tr r="D825" s="1"/>
        <tr r="D825" s="1"/>
      </tp>
      <tp>
        <v>96.77</v>
        <stp>pc99091</stp>
        <stp>daily</stp>
        <stp>/E.FEUAZ23</stp>
        <stp>Close</stp>
        <stp>2/22/2023 12:00:00 AM</stp>
        <stp/>
        <stp/>
        <stp/>
        <stp/>
        <stp/>
        <stp/>
        <stp/>
        <stp/>
        <stp/>
        <stp>/E.FEUAZ23</stp>
        <stp>Hundredths</stp>
        <stp/>
        <stp>False</stp>
        <tr r="B824" s="1"/>
        <tr r="B824" s="1"/>
      </tp>
      <tp>
        <v>101.41</v>
        <stp>pc99091</stp>
        <stp>daily</stp>
        <stp>/E.FEUAZ24</stp>
        <stp>Close</stp>
        <stp>2/22/2023 12:00:00 AM</stp>
        <stp/>
        <stp/>
        <stp/>
        <stp/>
        <stp/>
        <stp/>
        <stp/>
        <stp/>
        <stp/>
        <stp>/E.FEUAZ24</stp>
        <stp>Hundredths</stp>
        <stp/>
        <stp>False</stp>
        <tr r="C824" s="1"/>
        <tr r="C824" s="1"/>
      </tp>
      <tp>
        <v>105.97</v>
        <stp>pc99091</stp>
        <stp>daily</stp>
        <stp>/E.FEUAZ25</stp>
        <stp>Close</stp>
        <stp>2/22/2023 12:00:00 AM</stp>
        <stp/>
        <stp/>
        <stp/>
        <stp/>
        <stp/>
        <stp/>
        <stp/>
        <stp/>
        <stp/>
        <stp>/E.FEUAZ25</stp>
        <stp>Hundredths</stp>
        <stp/>
        <stp>False</stp>
        <tr r="D824" s="1"/>
        <tr r="D824" s="1"/>
      </tp>
      <tp>
        <v>100.34</v>
        <stp>pc99091</stp>
        <stp>daily</stp>
        <stp>/E.FEUAZ23</stp>
        <stp>Close</stp>
        <stp>2/21/2023 12:00:00 AM</stp>
        <stp/>
        <stp/>
        <stp/>
        <stp/>
        <stp/>
        <stp/>
        <stp/>
        <stp/>
        <stp/>
        <stp>/E.FEUAZ23</stp>
        <stp>Hundredths</stp>
        <stp/>
        <stp>False</stp>
        <tr r="B823" s="1"/>
        <tr r="B823" s="1"/>
      </tp>
      <tp>
        <v>105</v>
        <stp>pc99091</stp>
        <stp>daily</stp>
        <stp>/E.FEUAZ24</stp>
        <stp>Close</stp>
        <stp>2/21/2023 12:00:00 AM</stp>
        <stp/>
        <stp/>
        <stp/>
        <stp/>
        <stp/>
        <stp/>
        <stp/>
        <stp/>
        <stp/>
        <stp>/E.FEUAZ24</stp>
        <stp>Hundredths</stp>
        <stp/>
        <stp>False</stp>
        <tr r="C823" s="1"/>
        <tr r="C823" s="1"/>
      </tp>
      <tp>
        <v>109.61</v>
        <stp>pc99091</stp>
        <stp>daily</stp>
        <stp>/E.FEUAZ25</stp>
        <stp>Close</stp>
        <stp>2/21/2023 12:00:00 AM</stp>
        <stp/>
        <stp/>
        <stp/>
        <stp/>
        <stp/>
        <stp/>
        <stp/>
        <stp/>
        <stp/>
        <stp>/E.FEUAZ25</stp>
        <stp>Hundredths</stp>
        <stp/>
        <stp>False</stp>
        <tr r="D823" s="1"/>
        <tr r="D823" s="1"/>
      </tp>
      <tp>
        <v>98.350000000000009</v>
        <stp>pc99091</stp>
        <stp>daily</stp>
        <stp>/E.FEUAZ23</stp>
        <stp>Close</stp>
        <stp>2/20/2023 12:00:00 AM</stp>
        <stp/>
        <stp/>
        <stp/>
        <stp/>
        <stp/>
        <stp/>
        <stp/>
        <stp/>
        <stp/>
        <stp>/E.FEUAZ23</stp>
        <stp>Hundredths</stp>
        <stp/>
        <stp>False</stp>
        <tr r="B822" s="1"/>
        <tr r="B822" s="1"/>
      </tp>
      <tp>
        <v>102.91</v>
        <stp>pc99091</stp>
        <stp>daily</stp>
        <stp>/E.FEUAZ24</stp>
        <stp>Close</stp>
        <stp>2/20/2023 12:00:00 AM</stp>
        <stp/>
        <stp/>
        <stp/>
        <stp/>
        <stp/>
        <stp/>
        <stp/>
        <stp/>
        <stp/>
        <stp>/E.FEUAZ24</stp>
        <stp>Hundredths</stp>
        <stp/>
        <stp>False</stp>
        <tr r="C822" s="1"/>
        <tr r="C822" s="1"/>
      </tp>
      <tp>
        <v>107.45</v>
        <stp>pc99091</stp>
        <stp>daily</stp>
        <stp>/E.FEUAZ25</stp>
        <stp>Close</stp>
        <stp>2/20/2023 12:00:00 AM</stp>
        <stp/>
        <stp/>
        <stp/>
        <stp/>
        <stp/>
        <stp/>
        <stp/>
        <stp/>
        <stp/>
        <stp>/E.FEUAZ25</stp>
        <stp>Hundredths</stp>
        <stp/>
        <stp>False</stp>
        <tr r="D822" s="1"/>
        <tr r="D822" s="1"/>
      </tp>
      <tp>
        <v>100.23</v>
        <stp>pc99091</stp>
        <stp>daily</stp>
        <stp>/E.FEUAZ23</stp>
        <stp>Close</stp>
        <stp>2/27/2023 12:00:00 AM</stp>
        <stp/>
        <stp/>
        <stp/>
        <stp/>
        <stp/>
        <stp/>
        <stp/>
        <stp/>
        <stp/>
        <stp>/E.FEUAZ23</stp>
        <stp>Hundredths</stp>
        <stp/>
        <stp>False</stp>
        <tr r="B827" s="1"/>
        <tr r="B827" s="1"/>
      </tp>
      <tp>
        <v>105.14</v>
        <stp>pc99091</stp>
        <stp>daily</stp>
        <stp>/E.FEUAZ24</stp>
        <stp>Close</stp>
        <stp>2/27/2023 12:00:00 AM</stp>
        <stp/>
        <stp/>
        <stp/>
        <stp/>
        <stp/>
        <stp/>
        <stp/>
        <stp/>
        <stp/>
        <stp>/E.FEUAZ24</stp>
        <stp>Hundredths</stp>
        <stp/>
        <stp>False</stp>
        <tr r="C827" s="1"/>
        <tr r="C827" s="1"/>
      </tp>
      <tp>
        <v>109.95</v>
        <stp>pc99091</stp>
        <stp>daily</stp>
        <stp>/E.FEUAZ25</stp>
        <stp>Close</stp>
        <stp>2/27/2023 12:00:00 AM</stp>
        <stp/>
        <stp/>
        <stp/>
        <stp/>
        <stp/>
        <stp/>
        <stp/>
        <stp/>
        <stp/>
        <stp>/E.FEUAZ25</stp>
        <stp>Hundredths</stp>
        <stp/>
        <stp>False</stp>
        <tr r="D827" s="1"/>
        <tr r="D827" s="1"/>
      </tp>
      <tp>
        <v>97.39</v>
        <stp>pc99091</stp>
        <stp>daily</stp>
        <stp>/E.FEUAZ23</stp>
        <stp>Close</stp>
        <stp>2/24/2023 12:00:00 AM</stp>
        <stp/>
        <stp/>
        <stp/>
        <stp/>
        <stp/>
        <stp/>
        <stp/>
        <stp/>
        <stp/>
        <stp>/E.FEUAZ23</stp>
        <stp>Hundredths</stp>
        <stp/>
        <stp>False</stp>
        <tr r="B826" s="1"/>
        <tr r="B826" s="1"/>
      </tp>
      <tp>
        <v>102.14</v>
        <stp>pc99091</stp>
        <stp>daily</stp>
        <stp>/E.FEUAZ24</stp>
        <stp>Close</stp>
        <stp>2/24/2023 12:00:00 AM</stp>
        <stp/>
        <stp/>
        <stp/>
        <stp/>
        <stp/>
        <stp/>
        <stp/>
        <stp/>
        <stp/>
        <stp>/E.FEUAZ24</stp>
        <stp>Hundredths</stp>
        <stp/>
        <stp>False</stp>
        <tr r="C826" s="1"/>
        <tr r="C826" s="1"/>
      </tp>
      <tp>
        <v>106.79</v>
        <stp>pc99091</stp>
        <stp>daily</stp>
        <stp>/E.FEUAZ25</stp>
        <stp>Close</stp>
        <stp>2/24/2023 12:00:00 AM</stp>
        <stp/>
        <stp/>
        <stp/>
        <stp/>
        <stp/>
        <stp/>
        <stp/>
        <stp/>
        <stp/>
        <stp>/E.FEUAZ25</stp>
        <stp>Hundredths</stp>
        <stp/>
        <stp>False</stp>
        <tr r="D826" s="1"/>
        <tr r="D826" s="1"/>
      </tp>
      <tp>
        <v>100.94</v>
        <stp>pc99091</stp>
        <stp>daily</stp>
        <stp>/E.FEUAZ25</stp>
        <stp>Close</stp>
        <stp>2/13/2023 12:00:00 AM</stp>
        <stp/>
        <stp/>
        <stp/>
        <stp/>
        <stp/>
        <stp/>
        <stp/>
        <stp/>
        <stp/>
        <stp>/E.FEUAZ25</stp>
        <stp>Hundredths</stp>
        <stp/>
        <stp>False</stp>
        <tr r="D817" s="1"/>
        <tr r="D817" s="1"/>
      </tp>
      <tp>
        <v>96.25</v>
        <stp>pc99091</stp>
        <stp>daily</stp>
        <stp>/E.FEUAZ23</stp>
        <stp>Close</stp>
        <stp>2/17/2023 12:00:00 AM</stp>
        <stp/>
        <stp/>
        <stp/>
        <stp/>
        <stp/>
        <stp/>
        <stp/>
        <stp/>
        <stp/>
        <stp>/E.FEUAZ23</stp>
        <stp>Hundredths</stp>
        <stp/>
        <stp>False</stp>
        <tr r="B821" s="1"/>
        <tr r="B821" s="1"/>
      </tp>
      <tp>
        <v>100.71000000000001</v>
        <stp>pc99091</stp>
        <stp>daily</stp>
        <stp>/E.FEUAZ24</stp>
        <stp>Close</stp>
        <stp>2/17/2023 12:00:00 AM</stp>
        <stp/>
        <stp/>
        <stp/>
        <stp/>
        <stp/>
        <stp/>
        <stp/>
        <stp/>
        <stp/>
        <stp>/E.FEUAZ24</stp>
        <stp>Hundredths</stp>
        <stp/>
        <stp>False</stp>
        <tr r="C821" s="1"/>
        <tr r="C821" s="1"/>
      </tp>
      <tp>
        <v>105.24000000000001</v>
        <stp>pc99091</stp>
        <stp>daily</stp>
        <stp>/E.FEUAZ25</stp>
        <stp>Close</stp>
        <stp>2/17/2023 12:00:00 AM</stp>
        <stp/>
        <stp/>
        <stp/>
        <stp/>
        <stp/>
        <stp/>
        <stp/>
        <stp/>
        <stp/>
        <stp>/E.FEUAZ25</stp>
        <stp>Hundredths</stp>
        <stp/>
        <stp>False</stp>
        <tr r="D821" s="1"/>
        <tr r="D821" s="1"/>
      </tp>
      <tp>
        <v>97.54</v>
        <stp>pc99091</stp>
        <stp>daily</stp>
        <stp>/E.FEUAZ23</stp>
        <stp>Close</stp>
        <stp>2/16/2023 12:00:00 AM</stp>
        <stp/>
        <stp/>
        <stp/>
        <stp/>
        <stp/>
        <stp/>
        <stp/>
        <stp/>
        <stp/>
        <stp>/E.FEUAZ23</stp>
        <stp>Hundredths</stp>
        <stp/>
        <stp>False</stp>
        <tr r="B820" s="1"/>
        <tr r="B820" s="1"/>
      </tp>
      <tp>
        <v>102.04</v>
        <stp>pc99091</stp>
        <stp>daily</stp>
        <stp>/E.FEUAZ24</stp>
        <stp>Close</stp>
        <stp>2/16/2023 12:00:00 AM</stp>
        <stp/>
        <stp/>
        <stp/>
        <stp/>
        <stp/>
        <stp/>
        <stp/>
        <stp/>
        <stp/>
        <stp>/E.FEUAZ24</stp>
        <stp>Hundredths</stp>
        <stp/>
        <stp>False</stp>
        <tr r="C820" s="1"/>
        <tr r="C820" s="1"/>
      </tp>
      <tp>
        <v>106.66</v>
        <stp>pc99091</stp>
        <stp>daily</stp>
        <stp>/E.FEUAZ25</stp>
        <stp>Close</stp>
        <stp>2/16/2023 12:00:00 AM</stp>
        <stp/>
        <stp/>
        <stp/>
        <stp/>
        <stp/>
        <stp/>
        <stp/>
        <stp/>
        <stp/>
        <stp>/E.FEUAZ25</stp>
        <stp>Hundredths</stp>
        <stp/>
        <stp>False</stp>
        <tr r="D820" s="1"/>
        <tr r="D820" s="1"/>
      </tp>
      <tp>
        <v>94.37</v>
        <stp>pc99091</stp>
        <stp>daily</stp>
        <stp>/E.FEUAZ23</stp>
        <stp>Close</stp>
        <stp>2/15/2023 12:00:00 AM</stp>
        <stp/>
        <stp/>
        <stp/>
        <stp/>
        <stp/>
        <stp/>
        <stp/>
        <stp/>
        <stp/>
        <stp>/E.FEUAZ23</stp>
        <stp>Hundredths</stp>
        <stp/>
        <stp>False</stp>
        <tr r="B819" s="1"/>
        <tr r="B819" s="1"/>
      </tp>
      <tp>
        <v>98.75</v>
        <stp>pc99091</stp>
        <stp>daily</stp>
        <stp>/E.FEUAZ24</stp>
        <stp>Close</stp>
        <stp>2/15/2023 12:00:00 AM</stp>
        <stp/>
        <stp/>
        <stp/>
        <stp/>
        <stp/>
        <stp/>
        <stp/>
        <stp/>
        <stp/>
        <stp>/E.FEUAZ24</stp>
        <stp>Hundredths</stp>
        <stp/>
        <stp>False</stp>
        <tr r="C819" s="1"/>
        <tr r="C819" s="1"/>
      </tp>
      <tp>
        <v>103.22</v>
        <stp>pc99091</stp>
        <stp>daily</stp>
        <stp>/E.FEUAZ25</stp>
        <stp>Close</stp>
        <stp>2/15/2023 12:00:00 AM</stp>
        <stp/>
        <stp/>
        <stp/>
        <stp/>
        <stp/>
        <stp/>
        <stp/>
        <stp/>
        <stp/>
        <stp>/E.FEUAZ25</stp>
        <stp>Hundredths</stp>
        <stp/>
        <stp>False</stp>
        <tr r="D819" s="1"/>
        <tr r="D819" s="1"/>
      </tp>
      <tp>
        <v>92.06</v>
        <stp>pc99091</stp>
        <stp>daily</stp>
        <stp>/E.FEUAZ23</stp>
        <stp>Close</stp>
        <stp>2/14/2023 12:00:00 AM</stp>
        <stp/>
        <stp/>
        <stp/>
        <stp/>
        <stp/>
        <stp/>
        <stp/>
        <stp/>
        <stp/>
        <stp>/E.FEUAZ23</stp>
        <stp>Hundredths</stp>
        <stp/>
        <stp>False</stp>
        <tr r="B818" s="1"/>
        <tr r="B818" s="1"/>
      </tp>
      <tp>
        <v>96.31</v>
        <stp>pc99091</stp>
        <stp>daily</stp>
        <stp>/E.FEUAZ24</stp>
        <stp>Close</stp>
        <stp>2/14/2023 12:00:00 AM</stp>
        <stp/>
        <stp/>
        <stp/>
        <stp/>
        <stp/>
        <stp/>
        <stp/>
        <stp/>
        <stp/>
        <stp>/E.FEUAZ24</stp>
        <stp>Hundredths</stp>
        <stp/>
        <stp>False</stp>
        <tr r="C818" s="1"/>
        <tr r="C818" s="1"/>
      </tp>
      <tp>
        <v>100.67</v>
        <stp>pc99091</stp>
        <stp>daily</stp>
        <stp>/E.FEUAZ25</stp>
        <stp>Close</stp>
        <stp>2/14/2023 12:00:00 AM</stp>
        <stp/>
        <stp/>
        <stp/>
        <stp/>
        <stp/>
        <stp/>
        <stp/>
        <stp/>
        <stp/>
        <stp>/E.FEUAZ25</stp>
        <stp>Hundredths</stp>
        <stp/>
        <stp>False</stp>
        <tr r="D818" s="1"/>
        <tr r="D818" s="1"/>
      </tp>
      <tp>
        <v>74.320000000000007</v>
        <stp>pc99091</stp>
        <stp>daily</stp>
        <stp>/E.FEUAZ24</stp>
        <stp>Close</stp>
        <stp>10/19/2022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34" s="1"/>
        <tr r="C734" s="1"/>
      </tp>
      <tp>
        <v>74.75</v>
        <stp>pc99091</stp>
        <stp>daily</stp>
        <stp>/E.FEUAZ24</stp>
        <stp>Close</stp>
        <stp>10/18/2022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33" s="1"/>
        <tr r="C733" s="1"/>
      </tp>
      <tp>
        <v>75.92</v>
        <stp>pc99091</stp>
        <stp>daily</stp>
        <stp>/E.FEUAZ24</stp>
        <stp>Close</stp>
        <stp>10/13/2022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30" s="1"/>
        <tr r="C730" s="1"/>
      </tp>
      <tp>
        <v>73.760000000000005</v>
        <stp>pc99091</stp>
        <stp>daily</stp>
        <stp>/E.FEUAZ24</stp>
        <stp>Close</stp>
        <stp>10/12/2022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9" s="1"/>
        <tr r="C729" s="1"/>
      </tp>
      <tp>
        <v>73.47</v>
        <stp>pc99091</stp>
        <stp>daily</stp>
        <stp>/E.FEUAZ24</stp>
        <stp>Close</stp>
        <stp>10/11/2022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8" s="1"/>
        <tr r="C728" s="1"/>
      </tp>
      <tp>
        <v>74.010000000000005</v>
        <stp>pc99091</stp>
        <stp>daily</stp>
        <stp>/E.FEUAZ24</stp>
        <stp>Close</stp>
        <stp>10/10/2022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27" s="1"/>
        <tr r="C727" s="1"/>
      </tp>
      <tp>
        <v>74.5</v>
        <stp>pc99091</stp>
        <stp>daily</stp>
        <stp>/E.FEUAZ24</stp>
        <stp>Close</stp>
        <stp>10/17/2022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32" s="1"/>
        <tr r="C732" s="1"/>
      </tp>
      <tp>
        <v>75.11</v>
        <stp>pc99091</stp>
        <stp>daily</stp>
        <stp>/E.FEUAZ24</stp>
        <stp>Close</stp>
        <stp>10/14/2022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31" s="1"/>
        <tr r="C731" s="1"/>
      </tp>
      <tp>
        <v>75.760000000000005</v>
        <stp>pc99091</stp>
        <stp>daily</stp>
        <stp>/E.FEUAZ24</stp>
        <stp>Close</stp>
        <stp>10/21/2022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36" s="1"/>
        <tr r="C736" s="1"/>
      </tp>
      <tp>
        <v>73.92</v>
        <stp>pc99091</stp>
        <stp>daily</stp>
        <stp>/E.FEUAZ24</stp>
        <stp>Close</stp>
        <stp>10/20/2022 12:00:00 AM</stp>
        <stp/>
        <stp/>
        <stp/>
        <stp/>
        <stp>#</stp>
        <stp/>
        <stp/>
        <stp/>
        <stp/>
        <stp>/E.FEUAZ24</stp>
        <stp>Hundredths</stp>
        <stp/>
        <stp>False</stp>
        <tr r="C735" s="1"/>
        <tr r="C735" s="1"/>
      </tp>
      <tp>
        <v>70.45</v>
        <stp>pc99091</stp>
        <stp>daily</stp>
        <stp>/E.FEUAZ23</stp>
        <stp>Close</stp>
        <stp>10/18/2022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33" s="1"/>
        <tr r="B733" s="1"/>
      </tp>
      <tp>
        <v>70.08</v>
        <stp>pc99091</stp>
        <stp>daily</stp>
        <stp>/E.FEUAZ23</stp>
        <stp>Close</stp>
        <stp>10/19/2022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34" s="1"/>
        <tr r="B734" s="1"/>
      </tp>
      <tp>
        <v>70.62</v>
        <stp>pc99091</stp>
        <stp>daily</stp>
        <stp>/E.FEUAZ23</stp>
        <stp>Close</stp>
        <stp>10/14/2022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31" s="1"/>
        <tr r="B731" s="1"/>
      </tp>
      <tp>
        <v>70.11</v>
        <stp>pc99091</stp>
        <stp>daily</stp>
        <stp>/E.FEUAZ23</stp>
        <stp>Close</stp>
        <stp>10/17/2022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32" s="1"/>
        <tr r="B732" s="1"/>
      </tp>
      <tp>
        <v>69.460000000000008</v>
        <stp>pc99091</stp>
        <stp>daily</stp>
        <stp>/E.FEUAZ23</stp>
        <stp>Close</stp>
        <stp>10/10/2022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7" s="1"/>
        <tr r="B727" s="1"/>
      </tp>
      <tp>
        <v>69.02</v>
        <stp>pc99091</stp>
        <stp>daily</stp>
        <stp>/E.FEUAZ23</stp>
        <stp>Close</stp>
        <stp>10/11/2022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8" s="1"/>
        <tr r="B728" s="1"/>
      </tp>
      <tp>
        <v>69.31</v>
        <stp>pc99091</stp>
        <stp>daily</stp>
        <stp>/E.FEUAZ23</stp>
        <stp>Close</stp>
        <stp>10/12/2022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29" s="1"/>
        <tr r="B729" s="1"/>
      </tp>
      <tp>
        <v>71.42</v>
        <stp>pc99091</stp>
        <stp>daily</stp>
        <stp>/E.FEUAZ23</stp>
        <stp>Close</stp>
        <stp>10/13/2022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30" s="1"/>
        <tr r="B730" s="1"/>
      </tp>
      <tp>
        <v>69.72</v>
        <stp>pc99091</stp>
        <stp>daily</stp>
        <stp>/E.FEUAZ23</stp>
        <stp>Close</stp>
        <stp>10/20/2022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35" s="1"/>
        <tr r="B735" s="1"/>
      </tp>
      <tp>
        <v>71.59</v>
        <stp>pc99091</stp>
        <stp>daily</stp>
        <stp>/E.FEUAZ23</stp>
        <stp>Close</stp>
        <stp>10/21/2022 12:00:00 AM</stp>
        <stp/>
        <stp/>
        <stp/>
        <stp/>
        <stp>#</stp>
        <stp/>
        <stp/>
        <stp/>
        <stp/>
        <stp>/E.FEUAZ23</stp>
        <stp>Hundredths</stp>
        <stp/>
        <stp>False</stp>
        <tr r="B736" s="1"/>
        <tr r="B73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0CCB-EBF5-40D7-869D-567F8EED36A5}">
  <sheetPr codeName="Sheet1"/>
  <dimension ref="A1:E861"/>
  <sheetViews>
    <sheetView tabSelected="1" topLeftCell="A840" workbookViewId="0">
      <selection activeCell="D856" sqref="D856"/>
    </sheetView>
  </sheetViews>
  <sheetFormatPr defaultRowHeight="14.5" x14ac:dyDescent="0.35"/>
  <cols>
    <col min="1" max="1" width="10.7265625" bestFit="1" customWidth="1"/>
    <col min="2" max="3" width="35.54296875" bestFit="1" customWidth="1"/>
    <col min="4" max="4" width="33.7265625" bestFit="1" customWidth="1"/>
  </cols>
  <sheetData>
    <row r="1" spans="1:4" ht="23.5" x14ac:dyDescent="0.55000000000000004">
      <c r="A1" s="3" t="s">
        <v>2</v>
      </c>
    </row>
    <row r="2" spans="1:4" ht="23.5" x14ac:dyDescent="0.55000000000000004">
      <c r="A2" s="3"/>
    </row>
    <row r="3" spans="1:4" x14ac:dyDescent="0.35">
      <c r="B3" t="s">
        <v>3</v>
      </c>
      <c r="C3" t="s">
        <v>4</v>
      </c>
      <c r="D3" t="s">
        <v>5</v>
      </c>
    </row>
    <row r="4" spans="1:4" x14ac:dyDescent="0.35">
      <c r="A4" t="s">
        <v>0</v>
      </c>
      <c r="B4" t="s">
        <v>1</v>
      </c>
      <c r="C4" t="s">
        <v>1</v>
      </c>
    </row>
    <row r="5" spans="1:4" x14ac:dyDescent="0.35">
      <c r="A5" s="1">
        <f>DATE(2020, 1, 2)</f>
        <v>43832</v>
      </c>
      <c r="B5" s="2">
        <v>25.26</v>
      </c>
      <c r="C5" s="2">
        <v>25.62</v>
      </c>
    </row>
    <row r="6" spans="1:4" x14ac:dyDescent="0.35">
      <c r="A6" s="1">
        <f>DATE(2020, 1, 3)</f>
        <v>43833</v>
      </c>
      <c r="B6" s="2">
        <v>25.85</v>
      </c>
      <c r="C6" s="2">
        <v>26.21</v>
      </c>
    </row>
    <row r="7" spans="1:4" x14ac:dyDescent="0.35">
      <c r="A7" s="1">
        <f>DATE(2020, 1, 6)</f>
        <v>43836</v>
      </c>
      <c r="B7" s="2">
        <v>25.09</v>
      </c>
      <c r="C7" s="2">
        <v>25.45</v>
      </c>
    </row>
    <row r="8" spans="1:4" x14ac:dyDescent="0.35">
      <c r="A8" s="1">
        <f>DATE(2020, 1, 7)</f>
        <v>43837</v>
      </c>
      <c r="B8" s="2">
        <v>25.41</v>
      </c>
      <c r="C8" s="2">
        <v>25.77</v>
      </c>
    </row>
    <row r="9" spans="1:4" x14ac:dyDescent="0.35">
      <c r="A9" s="1">
        <f>DATE(2020, 1, 8)</f>
        <v>43838</v>
      </c>
      <c r="B9" s="2">
        <v>24.94</v>
      </c>
      <c r="C9" s="2">
        <v>25.3</v>
      </c>
    </row>
    <row r="10" spans="1:4" x14ac:dyDescent="0.35">
      <c r="A10" s="1">
        <f>DATE(2020, 1, 9)</f>
        <v>43839</v>
      </c>
      <c r="B10" s="2">
        <v>25.56</v>
      </c>
      <c r="C10" s="2">
        <v>25.92</v>
      </c>
    </row>
    <row r="11" spans="1:4" x14ac:dyDescent="0.35">
      <c r="A11" s="1">
        <f>DATE(2020, 1, 10)</f>
        <v>43840</v>
      </c>
      <c r="B11" s="2">
        <v>25.09</v>
      </c>
      <c r="C11" s="2">
        <v>25.45</v>
      </c>
    </row>
    <row r="12" spans="1:4" x14ac:dyDescent="0.35">
      <c r="A12" s="1">
        <f>DATE(2020, 1, 13)</f>
        <v>43843</v>
      </c>
      <c r="B12" s="2">
        <v>24.99</v>
      </c>
      <c r="C12" s="2">
        <v>25.35</v>
      </c>
    </row>
    <row r="13" spans="1:4" x14ac:dyDescent="0.35">
      <c r="A13" s="1">
        <f>DATE(2020, 1, 14)</f>
        <v>43844</v>
      </c>
      <c r="B13" s="2">
        <v>24.69</v>
      </c>
      <c r="C13" s="2">
        <v>25.05</v>
      </c>
    </row>
    <row r="14" spans="1:4" x14ac:dyDescent="0.35">
      <c r="A14" s="1">
        <f>DATE(2020, 1, 15)</f>
        <v>43845</v>
      </c>
      <c r="B14" s="2">
        <v>25.36</v>
      </c>
      <c r="C14" s="2">
        <v>25.72</v>
      </c>
    </row>
    <row r="15" spans="1:4" x14ac:dyDescent="0.35">
      <c r="A15" s="1">
        <f>DATE(2020, 1, 16)</f>
        <v>43846</v>
      </c>
      <c r="B15" s="2">
        <v>25.71</v>
      </c>
      <c r="C15" s="2">
        <v>26.07</v>
      </c>
    </row>
    <row r="16" spans="1:4" x14ac:dyDescent="0.35">
      <c r="A16" s="1">
        <f>DATE(2020, 1, 17)</f>
        <v>43847</v>
      </c>
      <c r="B16" s="2">
        <v>26.3</v>
      </c>
      <c r="C16" s="2">
        <v>26.66</v>
      </c>
    </row>
    <row r="17" spans="1:3" x14ac:dyDescent="0.35">
      <c r="A17" s="1">
        <f>DATE(2020, 1, 20)</f>
        <v>43850</v>
      </c>
      <c r="B17" s="2">
        <v>26.04</v>
      </c>
      <c r="C17" s="2">
        <v>26.4</v>
      </c>
    </row>
    <row r="18" spans="1:3" x14ac:dyDescent="0.35">
      <c r="A18" s="1">
        <f>DATE(2020, 1, 21)</f>
        <v>43851</v>
      </c>
      <c r="B18" s="2">
        <v>25.79</v>
      </c>
      <c r="C18" s="2">
        <v>26.15</v>
      </c>
    </row>
    <row r="19" spans="1:3" x14ac:dyDescent="0.35">
      <c r="A19" s="1">
        <f>DATE(2020, 1, 22)</f>
        <v>43852</v>
      </c>
      <c r="B19" s="2">
        <v>25.86</v>
      </c>
      <c r="C19" s="2">
        <v>26.22</v>
      </c>
    </row>
    <row r="20" spans="1:3" x14ac:dyDescent="0.35">
      <c r="A20" s="1">
        <f>DATE(2020, 1, 23)</f>
        <v>43853</v>
      </c>
      <c r="B20" s="2">
        <v>25.56</v>
      </c>
      <c r="C20" s="2">
        <v>25.92</v>
      </c>
    </row>
    <row r="21" spans="1:3" x14ac:dyDescent="0.35">
      <c r="A21" s="1">
        <f>DATE(2020, 1, 24)</f>
        <v>43854</v>
      </c>
      <c r="B21" s="2">
        <v>25.23</v>
      </c>
      <c r="C21" s="2">
        <v>25.59</v>
      </c>
    </row>
    <row r="22" spans="1:3" x14ac:dyDescent="0.35">
      <c r="A22" s="1">
        <f>DATE(2020, 1, 27)</f>
        <v>43857</v>
      </c>
      <c r="B22" s="2">
        <v>25.39</v>
      </c>
      <c r="C22" s="2">
        <v>25.74</v>
      </c>
    </row>
    <row r="23" spans="1:3" x14ac:dyDescent="0.35">
      <c r="A23" s="1">
        <f>DATE(2020, 1, 28)</f>
        <v>43858</v>
      </c>
      <c r="B23" s="2">
        <v>25.44</v>
      </c>
      <c r="C23" s="2">
        <v>25.79</v>
      </c>
    </row>
    <row r="24" spans="1:3" x14ac:dyDescent="0.35">
      <c r="A24" s="1">
        <f>DATE(2020, 1, 29)</f>
        <v>43859</v>
      </c>
      <c r="B24" s="2">
        <v>24.76</v>
      </c>
      <c r="C24" s="2">
        <v>25.11</v>
      </c>
    </row>
    <row r="25" spans="1:3" x14ac:dyDescent="0.35">
      <c r="A25" s="1">
        <f>DATE(2020, 1, 30)</f>
        <v>43860</v>
      </c>
      <c r="B25" s="2">
        <v>24.5</v>
      </c>
      <c r="C25" s="2">
        <v>24.82</v>
      </c>
    </row>
    <row r="26" spans="1:3" x14ac:dyDescent="0.35">
      <c r="A26" s="1">
        <f>DATE(2020, 1, 31)</f>
        <v>43861</v>
      </c>
      <c r="B26" s="2">
        <v>24.65</v>
      </c>
      <c r="C26" s="2">
        <v>24.97</v>
      </c>
    </row>
    <row r="27" spans="1:3" x14ac:dyDescent="0.35">
      <c r="A27" s="1">
        <f>DATE(2020, 2, 3)</f>
        <v>43864</v>
      </c>
      <c r="B27" s="2">
        <v>23.95</v>
      </c>
      <c r="C27" s="2">
        <v>24.28</v>
      </c>
    </row>
    <row r="28" spans="1:3" x14ac:dyDescent="0.35">
      <c r="A28" s="1">
        <f>DATE(2020, 2, 4)</f>
        <v>43865</v>
      </c>
      <c r="B28" s="2">
        <v>24.1</v>
      </c>
      <c r="C28" s="2">
        <v>24.43</v>
      </c>
    </row>
    <row r="29" spans="1:3" x14ac:dyDescent="0.35">
      <c r="A29" s="1">
        <f>DATE(2020, 2, 5)</f>
        <v>43866</v>
      </c>
      <c r="B29" s="2">
        <v>24.49</v>
      </c>
      <c r="C29" s="2">
        <v>24.83</v>
      </c>
    </row>
    <row r="30" spans="1:3" x14ac:dyDescent="0.35">
      <c r="A30" s="1">
        <f>DATE(2020, 2, 6)</f>
        <v>43867</v>
      </c>
      <c r="B30" s="2">
        <v>24.27</v>
      </c>
      <c r="C30" s="2">
        <v>24.61</v>
      </c>
    </row>
    <row r="31" spans="1:3" x14ac:dyDescent="0.35">
      <c r="A31" s="1">
        <f>DATE(2020, 2, 7)</f>
        <v>43868</v>
      </c>
      <c r="B31" s="2">
        <v>24.05</v>
      </c>
      <c r="C31" s="2">
        <v>24.39</v>
      </c>
    </row>
    <row r="32" spans="1:3" x14ac:dyDescent="0.35">
      <c r="A32" s="1">
        <f>DATE(2020, 2, 10)</f>
        <v>43871</v>
      </c>
      <c r="B32" s="2">
        <v>23.88</v>
      </c>
      <c r="C32" s="2">
        <v>24.22</v>
      </c>
    </row>
    <row r="33" spans="1:3" x14ac:dyDescent="0.35">
      <c r="A33" s="1">
        <f>DATE(2020, 2, 11)</f>
        <v>43872</v>
      </c>
      <c r="B33" s="2">
        <v>24.03</v>
      </c>
      <c r="C33" s="2">
        <v>24.37</v>
      </c>
    </row>
    <row r="34" spans="1:3" x14ac:dyDescent="0.35">
      <c r="A34" s="1">
        <f>DATE(2020, 2, 12)</f>
        <v>43873</v>
      </c>
      <c r="B34" s="2">
        <v>24.62</v>
      </c>
      <c r="C34" s="2">
        <v>24.96</v>
      </c>
    </row>
    <row r="35" spans="1:3" x14ac:dyDescent="0.35">
      <c r="A35" s="1">
        <f>DATE(2020, 2, 13)</f>
        <v>43874</v>
      </c>
      <c r="B35" s="2">
        <v>25.14</v>
      </c>
      <c r="C35" s="2">
        <v>25.48</v>
      </c>
    </row>
    <row r="36" spans="1:3" x14ac:dyDescent="0.35">
      <c r="A36" s="1">
        <f>DATE(2020, 2, 14)</f>
        <v>43875</v>
      </c>
      <c r="B36" s="2">
        <v>25.03</v>
      </c>
      <c r="C36" s="2">
        <v>25.37</v>
      </c>
    </row>
    <row r="37" spans="1:3" x14ac:dyDescent="0.35">
      <c r="A37" s="1">
        <f>DATE(2020, 2, 17)</f>
        <v>43878</v>
      </c>
      <c r="B37" s="2">
        <v>25.78</v>
      </c>
      <c r="C37" s="2">
        <v>26.12</v>
      </c>
    </row>
    <row r="38" spans="1:3" x14ac:dyDescent="0.35">
      <c r="A38" s="1">
        <f>DATE(2020, 2, 18)</f>
        <v>43879</v>
      </c>
      <c r="B38" s="2">
        <v>25.89</v>
      </c>
      <c r="C38" s="2">
        <v>26.23</v>
      </c>
    </row>
    <row r="39" spans="1:3" x14ac:dyDescent="0.35">
      <c r="A39" s="1">
        <f>DATE(2020, 2, 19)</f>
        <v>43880</v>
      </c>
      <c r="B39" s="2">
        <v>26.46</v>
      </c>
      <c r="C39" s="2">
        <v>26.8</v>
      </c>
    </row>
    <row r="40" spans="1:3" x14ac:dyDescent="0.35">
      <c r="A40" s="1">
        <f>DATE(2020, 2, 20)</f>
        <v>43881</v>
      </c>
      <c r="B40" s="2">
        <v>26.38</v>
      </c>
      <c r="C40" s="2">
        <v>26.72</v>
      </c>
    </row>
    <row r="41" spans="1:3" x14ac:dyDescent="0.35">
      <c r="A41" s="1">
        <f>DATE(2020, 2, 21)</f>
        <v>43882</v>
      </c>
      <c r="B41" s="2">
        <v>26.35</v>
      </c>
      <c r="C41" s="2">
        <v>26.69</v>
      </c>
    </row>
    <row r="42" spans="1:3" x14ac:dyDescent="0.35">
      <c r="A42" s="1">
        <f>DATE(2020, 2, 24)</f>
        <v>43885</v>
      </c>
      <c r="B42" s="2">
        <v>25.31</v>
      </c>
      <c r="C42" s="2">
        <v>25.65</v>
      </c>
    </row>
    <row r="43" spans="1:3" x14ac:dyDescent="0.35">
      <c r="A43" s="1">
        <f>DATE(2020, 2, 25)</f>
        <v>43886</v>
      </c>
      <c r="B43" s="2">
        <v>24.91</v>
      </c>
      <c r="C43" s="2">
        <v>25.26</v>
      </c>
    </row>
    <row r="44" spans="1:3" x14ac:dyDescent="0.35">
      <c r="A44" s="1">
        <f>DATE(2020, 2, 26)</f>
        <v>43887</v>
      </c>
      <c r="B44" s="2">
        <v>25</v>
      </c>
      <c r="C44" s="2">
        <v>25.35</v>
      </c>
    </row>
    <row r="45" spans="1:3" x14ac:dyDescent="0.35">
      <c r="A45" s="1">
        <f>DATE(2020, 2, 27)</f>
        <v>43888</v>
      </c>
      <c r="B45" s="2">
        <v>24.34</v>
      </c>
      <c r="C45" s="2">
        <v>24.69</v>
      </c>
    </row>
    <row r="46" spans="1:3" x14ac:dyDescent="0.35">
      <c r="A46" s="1">
        <f>DATE(2020, 2, 28)</f>
        <v>43889</v>
      </c>
      <c r="B46" s="2">
        <v>24.33</v>
      </c>
      <c r="C46" s="2">
        <v>24.68</v>
      </c>
    </row>
    <row r="47" spans="1:3" x14ac:dyDescent="0.35">
      <c r="A47" s="1">
        <f>DATE(2020, 3, 2)</f>
        <v>43892</v>
      </c>
      <c r="B47" s="2">
        <v>24.23</v>
      </c>
      <c r="C47" s="2">
        <v>24.58</v>
      </c>
    </row>
    <row r="48" spans="1:3" x14ac:dyDescent="0.35">
      <c r="A48" s="1">
        <f>DATE(2020, 3, 3)</f>
        <v>43893</v>
      </c>
      <c r="B48" s="2">
        <v>24.1</v>
      </c>
      <c r="C48" s="2">
        <v>24.45</v>
      </c>
    </row>
    <row r="49" spans="1:3" x14ac:dyDescent="0.35">
      <c r="A49" s="1">
        <f>DATE(2020, 3, 4)</f>
        <v>43894</v>
      </c>
      <c r="B49" s="2">
        <v>24.55</v>
      </c>
      <c r="C49" s="2">
        <v>24.9</v>
      </c>
    </row>
    <row r="50" spans="1:3" x14ac:dyDescent="0.35">
      <c r="A50" s="1">
        <f>DATE(2020, 3, 5)</f>
        <v>43895</v>
      </c>
      <c r="B50" s="2">
        <v>24.53</v>
      </c>
      <c r="C50" s="2">
        <v>24.88</v>
      </c>
    </row>
    <row r="51" spans="1:3" x14ac:dyDescent="0.35">
      <c r="A51" s="1">
        <f>DATE(2020, 3, 6)</f>
        <v>43896</v>
      </c>
      <c r="B51" s="2">
        <v>24.15</v>
      </c>
      <c r="C51" s="2">
        <v>24.5</v>
      </c>
    </row>
    <row r="52" spans="1:3" x14ac:dyDescent="0.35">
      <c r="A52" s="1">
        <f>DATE(2020, 3, 9)</f>
        <v>43899</v>
      </c>
      <c r="B52" s="2">
        <v>24</v>
      </c>
      <c r="C52" s="2">
        <v>24.35</v>
      </c>
    </row>
    <row r="53" spans="1:3" x14ac:dyDescent="0.35">
      <c r="A53" s="1">
        <f>DATE(2020, 3, 10)</f>
        <v>43900</v>
      </c>
      <c r="B53" s="2">
        <v>24.81</v>
      </c>
      <c r="C53" s="2">
        <v>25.16</v>
      </c>
    </row>
    <row r="54" spans="1:3" x14ac:dyDescent="0.35">
      <c r="A54" s="1">
        <f>DATE(2020, 3, 11)</f>
        <v>43901</v>
      </c>
      <c r="B54" s="2">
        <v>24.64</v>
      </c>
      <c r="C54" s="2">
        <v>24.99</v>
      </c>
    </row>
    <row r="55" spans="1:3" x14ac:dyDescent="0.35">
      <c r="A55" s="1">
        <f>DATE(2020, 3, 12)</f>
        <v>43902</v>
      </c>
      <c r="B55" s="2">
        <v>23.28</v>
      </c>
      <c r="C55" s="2">
        <v>23.64</v>
      </c>
    </row>
    <row r="56" spans="1:3" x14ac:dyDescent="0.35">
      <c r="A56" s="1">
        <f>DATE(2020, 3, 13)</f>
        <v>43903</v>
      </c>
      <c r="B56" s="2">
        <v>22.71</v>
      </c>
      <c r="C56" s="2">
        <v>23.06</v>
      </c>
    </row>
    <row r="57" spans="1:3" x14ac:dyDescent="0.35">
      <c r="A57" s="1">
        <f>DATE(2020, 3, 16)</f>
        <v>43906</v>
      </c>
      <c r="B57" s="2">
        <v>20.3</v>
      </c>
      <c r="C57" s="2">
        <v>20.65</v>
      </c>
    </row>
    <row r="58" spans="1:3" x14ac:dyDescent="0.35">
      <c r="A58" s="1">
        <f>DATE(2020, 3, 17)</f>
        <v>43907</v>
      </c>
      <c r="B58" s="2">
        <v>19.37</v>
      </c>
      <c r="C58" s="2">
        <v>19.72</v>
      </c>
    </row>
    <row r="59" spans="1:3" x14ac:dyDescent="0.35">
      <c r="A59" s="1">
        <f>DATE(2020, 3, 18)</f>
        <v>43908</v>
      </c>
      <c r="B59" s="2">
        <v>16.48</v>
      </c>
      <c r="C59" s="2">
        <v>16.829999999999998</v>
      </c>
    </row>
    <row r="60" spans="1:3" x14ac:dyDescent="0.35">
      <c r="A60" s="1">
        <f>DATE(2020, 3, 19)</f>
        <v>43909</v>
      </c>
      <c r="B60" s="2">
        <v>17.63</v>
      </c>
      <c r="C60" s="2">
        <v>18</v>
      </c>
    </row>
    <row r="61" spans="1:3" x14ac:dyDescent="0.35">
      <c r="A61" s="1">
        <f>DATE(2020, 3, 20)</f>
        <v>43910</v>
      </c>
      <c r="B61" s="2">
        <v>17.25</v>
      </c>
      <c r="C61" s="2">
        <v>17.66</v>
      </c>
    </row>
    <row r="62" spans="1:3" x14ac:dyDescent="0.35">
      <c r="A62" s="1">
        <f>DATE(2020, 3, 23)</f>
        <v>43913</v>
      </c>
      <c r="B62" s="2">
        <v>16.72</v>
      </c>
      <c r="C62" s="2">
        <v>17.16</v>
      </c>
    </row>
    <row r="63" spans="1:3" x14ac:dyDescent="0.35">
      <c r="A63" s="1">
        <f>DATE(2020, 3, 24)</f>
        <v>43914</v>
      </c>
      <c r="B63" s="2">
        <v>17.96</v>
      </c>
      <c r="C63" s="2">
        <v>18.399999999999999</v>
      </c>
    </row>
    <row r="64" spans="1:3" x14ac:dyDescent="0.35">
      <c r="A64" s="1">
        <f>DATE(2020, 3, 25)</f>
        <v>43915</v>
      </c>
      <c r="B64" s="2">
        <v>18.7</v>
      </c>
      <c r="C64" s="2">
        <v>19.14</v>
      </c>
    </row>
    <row r="65" spans="1:3" x14ac:dyDescent="0.35">
      <c r="A65" s="1">
        <f>DATE(2020, 3, 26)</f>
        <v>43916</v>
      </c>
      <c r="B65" s="2">
        <v>18.53</v>
      </c>
      <c r="C65" s="2">
        <v>18.97</v>
      </c>
    </row>
    <row r="66" spans="1:3" x14ac:dyDescent="0.35">
      <c r="A66" s="1">
        <f>DATE(2020, 3, 27)</f>
        <v>43917</v>
      </c>
      <c r="B66" s="2">
        <v>17.579999999999998</v>
      </c>
      <c r="C66" s="2">
        <v>18</v>
      </c>
    </row>
    <row r="67" spans="1:3" x14ac:dyDescent="0.35">
      <c r="A67" s="1">
        <f>DATE(2020, 3, 30)</f>
        <v>43920</v>
      </c>
      <c r="B67" s="2">
        <v>18.23</v>
      </c>
      <c r="C67" s="2">
        <v>18.649999999999999</v>
      </c>
    </row>
    <row r="68" spans="1:3" x14ac:dyDescent="0.35">
      <c r="A68" s="1">
        <f>DATE(2020, 3, 31)</f>
        <v>43921</v>
      </c>
      <c r="B68" s="2">
        <v>18.86</v>
      </c>
      <c r="C68" s="2">
        <v>19.28</v>
      </c>
    </row>
    <row r="69" spans="1:3" x14ac:dyDescent="0.35">
      <c r="A69" s="1">
        <f>DATE(2020, 4, 1)</f>
        <v>43922</v>
      </c>
      <c r="B69" s="2">
        <v>18.260000000000002</v>
      </c>
      <c r="C69" s="2">
        <v>18.68</v>
      </c>
    </row>
    <row r="70" spans="1:3" x14ac:dyDescent="0.35">
      <c r="A70" s="1">
        <f>DATE(2020, 4, 2)</f>
        <v>43923</v>
      </c>
      <c r="B70" s="2">
        <v>19.23</v>
      </c>
      <c r="C70" s="2">
        <v>19.66</v>
      </c>
    </row>
    <row r="71" spans="1:3" x14ac:dyDescent="0.35">
      <c r="A71" s="1">
        <f>DATE(2020, 4, 3)</f>
        <v>43924</v>
      </c>
      <c r="B71" s="2">
        <v>19.14</v>
      </c>
      <c r="C71" s="2">
        <v>19.57</v>
      </c>
    </row>
    <row r="72" spans="1:3" x14ac:dyDescent="0.35">
      <c r="A72" s="1">
        <f>DATE(2020, 4, 6)</f>
        <v>43927</v>
      </c>
      <c r="B72" s="2">
        <v>21.6</v>
      </c>
      <c r="C72" s="2">
        <v>22.02</v>
      </c>
    </row>
    <row r="73" spans="1:3" x14ac:dyDescent="0.35">
      <c r="A73" s="1">
        <f>DATE(2020, 4, 7)</f>
        <v>43928</v>
      </c>
      <c r="B73" s="2">
        <v>21.72</v>
      </c>
      <c r="C73" s="2">
        <v>22.14</v>
      </c>
    </row>
    <row r="74" spans="1:3" x14ac:dyDescent="0.35">
      <c r="A74" s="1">
        <f>DATE(2020, 4, 8)</f>
        <v>43929</v>
      </c>
      <c r="B74" s="2">
        <v>22.35</v>
      </c>
      <c r="C74" s="2">
        <v>22.77</v>
      </c>
    </row>
    <row r="75" spans="1:3" x14ac:dyDescent="0.35">
      <c r="A75" s="1">
        <f>DATE(2020, 4, 9)</f>
        <v>43930</v>
      </c>
      <c r="B75" s="2">
        <v>22.28</v>
      </c>
      <c r="C75" s="2">
        <v>22.7</v>
      </c>
    </row>
    <row r="76" spans="1:3" x14ac:dyDescent="0.35">
      <c r="A76" s="1">
        <f>DATE(2020, 4, 10)</f>
        <v>43931</v>
      </c>
      <c r="B76" s="2"/>
      <c r="C76" s="2"/>
    </row>
    <row r="77" spans="1:3" x14ac:dyDescent="0.35">
      <c r="A77" s="1">
        <f>DATE(2020, 4, 13)</f>
        <v>43934</v>
      </c>
      <c r="B77" s="2"/>
      <c r="C77" s="2"/>
    </row>
    <row r="78" spans="1:3" x14ac:dyDescent="0.35">
      <c r="A78" s="1">
        <f>DATE(2020, 4, 14)</f>
        <v>43935</v>
      </c>
      <c r="B78" s="2">
        <v>21</v>
      </c>
      <c r="C78" s="2">
        <v>21.42</v>
      </c>
    </row>
    <row r="79" spans="1:3" x14ac:dyDescent="0.35">
      <c r="A79" s="1">
        <f>DATE(2020, 4, 15)</f>
        <v>43936</v>
      </c>
      <c r="B79" s="2">
        <v>20.399999999999999</v>
      </c>
      <c r="C79" s="2">
        <v>20.82</v>
      </c>
    </row>
    <row r="80" spans="1:3" x14ac:dyDescent="0.35">
      <c r="A80" s="1">
        <f>DATE(2020, 4, 16)</f>
        <v>43937</v>
      </c>
      <c r="B80" s="2">
        <v>22.09</v>
      </c>
      <c r="C80" s="2">
        <v>22.51</v>
      </c>
    </row>
    <row r="81" spans="1:3" x14ac:dyDescent="0.35">
      <c r="A81" s="1">
        <f>DATE(2020, 4, 17)</f>
        <v>43938</v>
      </c>
      <c r="B81" s="2">
        <v>22.87</v>
      </c>
      <c r="C81" s="2">
        <v>23.29</v>
      </c>
    </row>
    <row r="82" spans="1:3" x14ac:dyDescent="0.35">
      <c r="A82" s="1">
        <f>DATE(2020, 4, 20)</f>
        <v>43941</v>
      </c>
      <c r="B82" s="2">
        <v>22.56</v>
      </c>
      <c r="C82" s="2">
        <v>22.98</v>
      </c>
    </row>
    <row r="83" spans="1:3" x14ac:dyDescent="0.35">
      <c r="A83" s="1">
        <f>DATE(2020, 4, 21)</f>
        <v>43942</v>
      </c>
      <c r="B83" s="2">
        <v>21.05</v>
      </c>
      <c r="C83" s="2">
        <v>21.47</v>
      </c>
    </row>
    <row r="84" spans="1:3" x14ac:dyDescent="0.35">
      <c r="A84" s="1">
        <f>DATE(2020, 4, 22)</f>
        <v>43943</v>
      </c>
      <c r="B84" s="2">
        <v>21.87</v>
      </c>
      <c r="C84" s="2">
        <v>22.29</v>
      </c>
    </row>
    <row r="85" spans="1:3" x14ac:dyDescent="0.35">
      <c r="A85" s="1">
        <f>DATE(2020, 4, 23)</f>
        <v>43944</v>
      </c>
      <c r="B85" s="2">
        <v>22.24</v>
      </c>
      <c r="C85" s="2">
        <v>22.66</v>
      </c>
    </row>
    <row r="86" spans="1:3" x14ac:dyDescent="0.35">
      <c r="A86" s="1">
        <f>DATE(2020, 4, 24)</f>
        <v>43945</v>
      </c>
      <c r="B86" s="2">
        <v>21.96</v>
      </c>
      <c r="C86" s="2">
        <v>22.38</v>
      </c>
    </row>
    <row r="87" spans="1:3" x14ac:dyDescent="0.35">
      <c r="A87" s="1">
        <f>DATE(2020, 4, 27)</f>
        <v>43948</v>
      </c>
      <c r="B87" s="2">
        <v>21.53</v>
      </c>
      <c r="C87" s="2">
        <v>21.95</v>
      </c>
    </row>
    <row r="88" spans="1:3" x14ac:dyDescent="0.35">
      <c r="A88" s="1">
        <f>DATE(2020, 4, 28)</f>
        <v>43949</v>
      </c>
      <c r="B88" s="2">
        <v>21.43</v>
      </c>
      <c r="C88" s="2">
        <v>21.85</v>
      </c>
    </row>
    <row r="89" spans="1:3" x14ac:dyDescent="0.35">
      <c r="A89" s="1">
        <f>DATE(2020, 4, 29)</f>
        <v>43950</v>
      </c>
      <c r="B89" s="2">
        <v>21.39</v>
      </c>
      <c r="C89" s="2">
        <v>21.81</v>
      </c>
    </row>
    <row r="90" spans="1:3" x14ac:dyDescent="0.35">
      <c r="A90" s="1">
        <f>DATE(2020, 4, 30)</f>
        <v>43951</v>
      </c>
      <c r="B90" s="2">
        <v>20.79</v>
      </c>
      <c r="C90" s="2">
        <v>21.22</v>
      </c>
    </row>
    <row r="91" spans="1:3" x14ac:dyDescent="0.35">
      <c r="A91" s="1">
        <f>DATE(2020, 5, 1)</f>
        <v>43952</v>
      </c>
      <c r="B91" s="2"/>
      <c r="C91" s="2"/>
    </row>
    <row r="92" spans="1:3" x14ac:dyDescent="0.35">
      <c r="A92" s="1">
        <f>DATE(2020, 5, 4)</f>
        <v>43955</v>
      </c>
      <c r="B92" s="2">
        <v>20.56</v>
      </c>
      <c r="C92" s="2">
        <v>20.99</v>
      </c>
    </row>
    <row r="93" spans="1:3" x14ac:dyDescent="0.35">
      <c r="A93" s="1">
        <f>DATE(2020, 5, 5)</f>
        <v>43956</v>
      </c>
      <c r="B93" s="2">
        <v>20.3</v>
      </c>
      <c r="C93" s="2">
        <v>20.73</v>
      </c>
    </row>
    <row r="94" spans="1:3" x14ac:dyDescent="0.35">
      <c r="A94" s="1">
        <f>DATE(2020, 5, 6)</f>
        <v>43957</v>
      </c>
      <c r="B94" s="2">
        <v>20.22</v>
      </c>
      <c r="C94" s="2">
        <v>20.65</v>
      </c>
    </row>
    <row r="95" spans="1:3" x14ac:dyDescent="0.35">
      <c r="A95" s="1">
        <f>DATE(2020, 5, 7)</f>
        <v>43958</v>
      </c>
      <c r="B95" s="2">
        <v>20.74</v>
      </c>
      <c r="C95" s="2">
        <v>21.15</v>
      </c>
    </row>
    <row r="96" spans="1:3" x14ac:dyDescent="0.35">
      <c r="A96" s="1">
        <f>DATE(2020, 5, 8)</f>
        <v>43959</v>
      </c>
      <c r="B96" s="2">
        <v>20.54</v>
      </c>
      <c r="C96" s="2">
        <v>20.95</v>
      </c>
    </row>
    <row r="97" spans="1:3" x14ac:dyDescent="0.35">
      <c r="A97" s="1">
        <f>DATE(2020, 5, 11)</f>
        <v>43962</v>
      </c>
      <c r="B97" s="2">
        <v>20.27</v>
      </c>
      <c r="C97" s="2">
        <v>20.67</v>
      </c>
    </row>
    <row r="98" spans="1:3" x14ac:dyDescent="0.35">
      <c r="A98" s="1">
        <f>DATE(2020, 5, 12)</f>
        <v>43963</v>
      </c>
      <c r="B98" s="2">
        <v>19.72</v>
      </c>
      <c r="C98" s="2">
        <v>20.12</v>
      </c>
    </row>
    <row r="99" spans="1:3" x14ac:dyDescent="0.35">
      <c r="A99" s="1">
        <f>DATE(2020, 5, 13)</f>
        <v>43964</v>
      </c>
      <c r="B99" s="2">
        <v>19.86</v>
      </c>
      <c r="C99" s="2">
        <v>20.260000000000002</v>
      </c>
    </row>
    <row r="100" spans="1:3" x14ac:dyDescent="0.35">
      <c r="A100" s="1">
        <f>DATE(2020, 5, 14)</f>
        <v>43965</v>
      </c>
      <c r="B100" s="2">
        <v>20.03</v>
      </c>
      <c r="C100" s="2">
        <v>20.43</v>
      </c>
    </row>
    <row r="101" spans="1:3" x14ac:dyDescent="0.35">
      <c r="A101" s="1">
        <f>DATE(2020, 5, 15)</f>
        <v>43966</v>
      </c>
      <c r="B101" s="2">
        <v>20.36</v>
      </c>
      <c r="C101" s="2">
        <v>20.76</v>
      </c>
    </row>
    <row r="102" spans="1:3" x14ac:dyDescent="0.35">
      <c r="A102" s="1">
        <f>DATE(2020, 5, 18)</f>
        <v>43969</v>
      </c>
      <c r="B102" s="2">
        <v>21.54</v>
      </c>
      <c r="C102" s="2">
        <v>21.94</v>
      </c>
    </row>
    <row r="103" spans="1:3" x14ac:dyDescent="0.35">
      <c r="A103" s="1">
        <f>DATE(2020, 5, 19)</f>
        <v>43970</v>
      </c>
      <c r="B103" s="2">
        <v>21.17</v>
      </c>
      <c r="C103" s="2">
        <v>21.57</v>
      </c>
    </row>
    <row r="104" spans="1:3" x14ac:dyDescent="0.35">
      <c r="A104" s="1">
        <f>DATE(2020, 5, 20)</f>
        <v>43971</v>
      </c>
      <c r="B104" s="2">
        <v>22.45</v>
      </c>
      <c r="C104" s="2">
        <v>22.85</v>
      </c>
    </row>
    <row r="105" spans="1:3" x14ac:dyDescent="0.35">
      <c r="A105" s="1">
        <f>DATE(2020, 5, 21)</f>
        <v>43972</v>
      </c>
      <c r="B105" s="2">
        <v>22.37</v>
      </c>
      <c r="C105" s="2">
        <v>22.77</v>
      </c>
    </row>
    <row r="106" spans="1:3" x14ac:dyDescent="0.35">
      <c r="A106" s="1">
        <f>DATE(2020, 5, 22)</f>
        <v>43973</v>
      </c>
      <c r="B106" s="2">
        <v>22.6</v>
      </c>
      <c r="C106" s="2">
        <v>23</v>
      </c>
    </row>
    <row r="107" spans="1:3" x14ac:dyDescent="0.35">
      <c r="A107" s="1">
        <f>DATE(2020, 5, 25)</f>
        <v>43976</v>
      </c>
      <c r="B107" s="2">
        <v>22.78</v>
      </c>
      <c r="C107" s="2">
        <v>23.18</v>
      </c>
    </row>
    <row r="108" spans="1:3" x14ac:dyDescent="0.35">
      <c r="A108" s="1">
        <f>DATE(2020, 5, 26)</f>
        <v>43977</v>
      </c>
      <c r="B108" s="2">
        <v>22.81</v>
      </c>
      <c r="C108" s="2">
        <v>23.21</v>
      </c>
    </row>
    <row r="109" spans="1:3" x14ac:dyDescent="0.35">
      <c r="A109" s="1">
        <f>DATE(2020, 5, 27)</f>
        <v>43978</v>
      </c>
      <c r="B109" s="2">
        <v>22.54</v>
      </c>
      <c r="C109" s="2">
        <v>22.95</v>
      </c>
    </row>
    <row r="110" spans="1:3" x14ac:dyDescent="0.35">
      <c r="A110" s="1">
        <f>DATE(2020, 5, 28)</f>
        <v>43979</v>
      </c>
      <c r="B110" s="2">
        <v>22.44</v>
      </c>
      <c r="C110" s="2">
        <v>22.85</v>
      </c>
    </row>
    <row r="111" spans="1:3" x14ac:dyDescent="0.35">
      <c r="A111" s="1">
        <f>DATE(2020, 5, 29)</f>
        <v>43980</v>
      </c>
      <c r="B111" s="2">
        <v>22.59</v>
      </c>
      <c r="C111" s="2">
        <v>23</v>
      </c>
    </row>
    <row r="112" spans="1:3" x14ac:dyDescent="0.35">
      <c r="A112" s="1">
        <f>DATE(2020, 6, 1)</f>
        <v>43983</v>
      </c>
      <c r="B112" s="2">
        <v>22.16</v>
      </c>
      <c r="C112" s="2">
        <v>22.57</v>
      </c>
    </row>
    <row r="113" spans="1:3" x14ac:dyDescent="0.35">
      <c r="A113" s="1">
        <f>DATE(2020, 6, 2)</f>
        <v>43984</v>
      </c>
      <c r="B113" s="2">
        <v>23.24</v>
      </c>
      <c r="C113" s="2">
        <v>23.65</v>
      </c>
    </row>
    <row r="114" spans="1:3" x14ac:dyDescent="0.35">
      <c r="A114" s="1">
        <f>DATE(2020, 6, 3)</f>
        <v>43985</v>
      </c>
      <c r="B114" s="2">
        <v>23.25</v>
      </c>
      <c r="C114" s="2">
        <v>23.66</v>
      </c>
    </row>
    <row r="115" spans="1:3" x14ac:dyDescent="0.35">
      <c r="A115" s="1">
        <f>DATE(2020, 6, 4)</f>
        <v>43986</v>
      </c>
      <c r="B115" s="2">
        <v>23.38</v>
      </c>
      <c r="C115" s="2">
        <v>23.79</v>
      </c>
    </row>
    <row r="116" spans="1:3" x14ac:dyDescent="0.35">
      <c r="A116" s="1">
        <f>DATE(2020, 6, 5)</f>
        <v>43987</v>
      </c>
      <c r="B116" s="2">
        <v>24.41</v>
      </c>
      <c r="C116" s="2">
        <v>24.83</v>
      </c>
    </row>
    <row r="117" spans="1:3" x14ac:dyDescent="0.35">
      <c r="A117" s="1">
        <f>DATE(2020, 6, 8)</f>
        <v>43990</v>
      </c>
      <c r="B117" s="2">
        <v>23.88</v>
      </c>
      <c r="C117" s="2">
        <v>24.3</v>
      </c>
    </row>
    <row r="118" spans="1:3" x14ac:dyDescent="0.35">
      <c r="A118" s="1">
        <f>DATE(2020, 6, 9)</f>
        <v>43991</v>
      </c>
      <c r="B118" s="2">
        <v>23.64</v>
      </c>
      <c r="C118" s="2">
        <v>24.07</v>
      </c>
    </row>
    <row r="119" spans="1:3" x14ac:dyDescent="0.35">
      <c r="A119" s="1">
        <f>DATE(2020, 6, 10)</f>
        <v>43992</v>
      </c>
      <c r="B119" s="2">
        <v>24.07</v>
      </c>
      <c r="C119" s="2">
        <v>24.5</v>
      </c>
    </row>
    <row r="120" spans="1:3" x14ac:dyDescent="0.35">
      <c r="A120" s="1">
        <f>DATE(2020, 6, 11)</f>
        <v>43993</v>
      </c>
      <c r="B120" s="2">
        <v>23.43</v>
      </c>
      <c r="C120" s="2">
        <v>23.86</v>
      </c>
    </row>
    <row r="121" spans="1:3" x14ac:dyDescent="0.35">
      <c r="A121" s="1">
        <f>DATE(2020, 6, 12)</f>
        <v>43994</v>
      </c>
      <c r="B121" s="2">
        <v>23.16</v>
      </c>
      <c r="C121" s="2">
        <v>23.59</v>
      </c>
    </row>
    <row r="122" spans="1:3" x14ac:dyDescent="0.35">
      <c r="A122" s="1">
        <f>DATE(2020, 6, 15)</f>
        <v>43997</v>
      </c>
      <c r="B122" s="2">
        <v>23.31</v>
      </c>
      <c r="C122" s="2">
        <v>23.73</v>
      </c>
    </row>
    <row r="123" spans="1:3" x14ac:dyDescent="0.35">
      <c r="A123" s="1">
        <f>DATE(2020, 6, 16)</f>
        <v>43998</v>
      </c>
      <c r="B123" s="2">
        <v>23.92</v>
      </c>
      <c r="C123" s="2">
        <v>24.34</v>
      </c>
    </row>
    <row r="124" spans="1:3" x14ac:dyDescent="0.35">
      <c r="A124" s="1">
        <f>DATE(2020, 6, 17)</f>
        <v>43999</v>
      </c>
      <c r="B124" s="2">
        <v>23.89</v>
      </c>
      <c r="C124" s="2">
        <v>24.31</v>
      </c>
    </row>
    <row r="125" spans="1:3" x14ac:dyDescent="0.35">
      <c r="A125" s="1">
        <f>DATE(2020, 6, 18)</f>
        <v>44000</v>
      </c>
      <c r="B125" s="2">
        <v>25.62</v>
      </c>
      <c r="C125" s="2">
        <v>26.04</v>
      </c>
    </row>
    <row r="126" spans="1:3" x14ac:dyDescent="0.35">
      <c r="A126" s="1">
        <f>DATE(2020, 6, 19)</f>
        <v>44001</v>
      </c>
      <c r="B126" s="2">
        <v>25.31</v>
      </c>
      <c r="C126" s="2">
        <v>25.73</v>
      </c>
    </row>
    <row r="127" spans="1:3" x14ac:dyDescent="0.35">
      <c r="A127" s="1">
        <f>DATE(2020, 6, 22)</f>
        <v>44004</v>
      </c>
      <c r="B127" s="2">
        <v>25.69</v>
      </c>
      <c r="C127" s="2">
        <v>26.11</v>
      </c>
    </row>
    <row r="128" spans="1:3" x14ac:dyDescent="0.35">
      <c r="A128" s="1">
        <f>DATE(2020, 6, 23)</f>
        <v>44005</v>
      </c>
      <c r="B128" s="2">
        <v>26.56</v>
      </c>
      <c r="C128" s="2">
        <v>26.98</v>
      </c>
    </row>
    <row r="129" spans="1:3" x14ac:dyDescent="0.35">
      <c r="A129" s="1">
        <f>DATE(2020, 6, 24)</f>
        <v>44006</v>
      </c>
      <c r="B129" s="2">
        <v>26.55</v>
      </c>
      <c r="C129" s="2">
        <v>26.97</v>
      </c>
    </row>
    <row r="130" spans="1:3" x14ac:dyDescent="0.35">
      <c r="A130" s="1">
        <f>DATE(2020, 6, 25)</f>
        <v>44007</v>
      </c>
      <c r="B130" s="2">
        <v>26.35</v>
      </c>
      <c r="C130" s="2">
        <v>26.77</v>
      </c>
    </row>
    <row r="131" spans="1:3" x14ac:dyDescent="0.35">
      <c r="A131" s="1">
        <f>DATE(2020, 6, 26)</f>
        <v>44008</v>
      </c>
      <c r="B131" s="2">
        <v>25.91</v>
      </c>
      <c r="C131" s="2">
        <v>26.33</v>
      </c>
    </row>
    <row r="132" spans="1:3" x14ac:dyDescent="0.35">
      <c r="A132" s="1">
        <f>DATE(2020, 6, 29)</f>
        <v>44011</v>
      </c>
      <c r="B132" s="2">
        <v>27.8</v>
      </c>
      <c r="C132" s="2">
        <v>28.22</v>
      </c>
    </row>
    <row r="133" spans="1:3" x14ac:dyDescent="0.35">
      <c r="A133" s="1">
        <f>DATE(2020, 6, 30)</f>
        <v>44012</v>
      </c>
      <c r="B133" s="2">
        <v>28.15</v>
      </c>
      <c r="C133" s="2">
        <v>28.59</v>
      </c>
    </row>
    <row r="134" spans="1:3" x14ac:dyDescent="0.35">
      <c r="A134" s="1">
        <f>DATE(2020, 7, 1)</f>
        <v>44013</v>
      </c>
      <c r="B134" s="2">
        <v>28.9</v>
      </c>
      <c r="C134" s="2">
        <v>29.36</v>
      </c>
    </row>
    <row r="135" spans="1:3" x14ac:dyDescent="0.35">
      <c r="A135" s="1">
        <f>DATE(2020, 7, 2)</f>
        <v>44014</v>
      </c>
      <c r="B135" s="2">
        <v>28.56</v>
      </c>
      <c r="C135" s="2">
        <v>29.02</v>
      </c>
    </row>
    <row r="136" spans="1:3" x14ac:dyDescent="0.35">
      <c r="A136" s="1">
        <f>DATE(2020, 7, 3)</f>
        <v>44015</v>
      </c>
      <c r="B136" s="2">
        <v>29.08</v>
      </c>
      <c r="C136" s="2">
        <v>29.54</v>
      </c>
    </row>
    <row r="137" spans="1:3" x14ac:dyDescent="0.35">
      <c r="A137" s="1">
        <f>DATE(2020, 7, 6)</f>
        <v>44018</v>
      </c>
      <c r="B137" s="2">
        <v>30.9</v>
      </c>
      <c r="C137" s="2">
        <v>31.38</v>
      </c>
    </row>
    <row r="138" spans="1:3" x14ac:dyDescent="0.35">
      <c r="A138" s="1">
        <f>DATE(2020, 7, 7)</f>
        <v>44019</v>
      </c>
      <c r="B138" s="2">
        <v>30.59</v>
      </c>
      <c r="C138" s="2">
        <v>31.07</v>
      </c>
    </row>
    <row r="139" spans="1:3" x14ac:dyDescent="0.35">
      <c r="A139" s="1">
        <f>DATE(2020, 7, 8)</f>
        <v>44020</v>
      </c>
      <c r="B139" s="2">
        <v>30.52</v>
      </c>
      <c r="C139" s="2">
        <v>31</v>
      </c>
    </row>
    <row r="140" spans="1:3" x14ac:dyDescent="0.35">
      <c r="A140" s="1">
        <f>DATE(2020, 7, 9)</f>
        <v>44021</v>
      </c>
      <c r="B140" s="2">
        <v>29.82</v>
      </c>
      <c r="C140" s="2">
        <v>30.3</v>
      </c>
    </row>
    <row r="141" spans="1:3" x14ac:dyDescent="0.35">
      <c r="A141" s="1">
        <f>DATE(2020, 7, 10)</f>
        <v>44022</v>
      </c>
      <c r="B141" s="2">
        <v>30.23</v>
      </c>
      <c r="C141" s="2">
        <v>30.7</v>
      </c>
    </row>
    <row r="142" spans="1:3" x14ac:dyDescent="0.35">
      <c r="A142" s="1">
        <f>DATE(2020, 7, 13)</f>
        <v>44025</v>
      </c>
      <c r="B142" s="2">
        <v>30.61</v>
      </c>
      <c r="C142" s="2">
        <v>31.09</v>
      </c>
    </row>
    <row r="143" spans="1:3" x14ac:dyDescent="0.35">
      <c r="A143" s="1">
        <f>DATE(2020, 7, 14)</f>
        <v>44026</v>
      </c>
      <c r="B143" s="2">
        <v>30.92</v>
      </c>
      <c r="C143" s="2">
        <v>31.42</v>
      </c>
    </row>
    <row r="144" spans="1:3" x14ac:dyDescent="0.35">
      <c r="A144" s="1">
        <f>DATE(2020, 7, 15)</f>
        <v>44027</v>
      </c>
      <c r="B144" s="2">
        <v>30.2</v>
      </c>
      <c r="C144" s="2">
        <v>30.75</v>
      </c>
    </row>
    <row r="145" spans="1:3" x14ac:dyDescent="0.35">
      <c r="A145" s="1">
        <f>DATE(2020, 7, 16)</f>
        <v>44028</v>
      </c>
      <c r="B145" s="2">
        <v>28.3</v>
      </c>
      <c r="C145" s="2">
        <v>28.93</v>
      </c>
    </row>
    <row r="146" spans="1:3" x14ac:dyDescent="0.35">
      <c r="A146" s="1">
        <f>DATE(2020, 7, 17)</f>
        <v>44029</v>
      </c>
      <c r="B146" s="2">
        <v>29.36</v>
      </c>
      <c r="C146" s="2">
        <v>29.99</v>
      </c>
    </row>
    <row r="147" spans="1:3" x14ac:dyDescent="0.35">
      <c r="A147" s="1">
        <f>DATE(2020, 7, 20)</f>
        <v>44032</v>
      </c>
      <c r="B147" s="2">
        <v>27.72</v>
      </c>
      <c r="C147" s="2">
        <v>28.35</v>
      </c>
    </row>
    <row r="148" spans="1:3" x14ac:dyDescent="0.35">
      <c r="A148" s="1">
        <f>DATE(2020, 7, 21)</f>
        <v>44033</v>
      </c>
      <c r="B148" s="2">
        <v>28.14</v>
      </c>
      <c r="C148" s="2">
        <v>28.77</v>
      </c>
    </row>
    <row r="149" spans="1:3" x14ac:dyDescent="0.35">
      <c r="A149" s="1">
        <f>DATE(2020, 7, 22)</f>
        <v>44034</v>
      </c>
      <c r="B149" s="2">
        <v>28.15</v>
      </c>
      <c r="C149" s="2">
        <v>28.83</v>
      </c>
    </row>
    <row r="150" spans="1:3" x14ac:dyDescent="0.35">
      <c r="A150" s="1">
        <f>DATE(2020, 7, 23)</f>
        <v>44035</v>
      </c>
      <c r="B150" s="2">
        <v>28.86</v>
      </c>
      <c r="C150" s="2">
        <v>29.56</v>
      </c>
    </row>
    <row r="151" spans="1:3" x14ac:dyDescent="0.35">
      <c r="A151" s="1">
        <f>DATE(2020, 7, 24)</f>
        <v>44036</v>
      </c>
      <c r="B151" s="2">
        <v>27.9</v>
      </c>
      <c r="C151" s="2">
        <v>28.6</v>
      </c>
    </row>
    <row r="152" spans="1:3" x14ac:dyDescent="0.35">
      <c r="A152" s="1">
        <f>DATE(2020, 7, 27)</f>
        <v>44039</v>
      </c>
      <c r="B152" s="2">
        <v>26.51</v>
      </c>
      <c r="C152" s="2">
        <v>27.21</v>
      </c>
    </row>
    <row r="153" spans="1:3" x14ac:dyDescent="0.35">
      <c r="A153" s="1">
        <f>DATE(2020, 7, 28)</f>
        <v>44040</v>
      </c>
      <c r="B153" s="2">
        <v>27.28</v>
      </c>
      <c r="C153" s="2">
        <v>27.98</v>
      </c>
    </row>
    <row r="154" spans="1:3" x14ac:dyDescent="0.35">
      <c r="A154" s="1">
        <f>DATE(2020, 7, 29)</f>
        <v>44041</v>
      </c>
      <c r="B154" s="2">
        <v>27.77</v>
      </c>
      <c r="C154" s="2">
        <v>28.48</v>
      </c>
    </row>
    <row r="155" spans="1:3" x14ac:dyDescent="0.35">
      <c r="A155" s="1">
        <f>DATE(2020, 7, 30)</f>
        <v>44042</v>
      </c>
      <c r="B155" s="2">
        <v>27.14</v>
      </c>
      <c r="C155" s="2">
        <v>27.87</v>
      </c>
    </row>
    <row r="156" spans="1:3" x14ac:dyDescent="0.35">
      <c r="A156" s="1">
        <f>DATE(2020, 7, 31)</f>
        <v>44043</v>
      </c>
      <c r="B156" s="2">
        <v>27.88</v>
      </c>
      <c r="C156" s="2">
        <v>28.61</v>
      </c>
    </row>
    <row r="157" spans="1:3" x14ac:dyDescent="0.35">
      <c r="A157" s="1">
        <f>DATE(2020, 8, 3)</f>
        <v>44046</v>
      </c>
      <c r="B157" s="2">
        <v>27.74</v>
      </c>
      <c r="C157" s="2">
        <v>28.46</v>
      </c>
    </row>
    <row r="158" spans="1:3" x14ac:dyDescent="0.35">
      <c r="A158" s="1">
        <f>DATE(2020, 8, 4)</f>
        <v>44047</v>
      </c>
      <c r="B158" s="2">
        <v>28.45</v>
      </c>
      <c r="C158" s="2">
        <v>29.19</v>
      </c>
    </row>
    <row r="159" spans="1:3" x14ac:dyDescent="0.35">
      <c r="A159" s="1">
        <f>DATE(2020, 8, 5)</f>
        <v>44048</v>
      </c>
      <c r="B159" s="2">
        <v>28.36</v>
      </c>
      <c r="C159" s="2">
        <v>29.11</v>
      </c>
    </row>
    <row r="160" spans="1:3" x14ac:dyDescent="0.35">
      <c r="A160" s="1">
        <f>DATE(2020, 8, 6)</f>
        <v>44049</v>
      </c>
      <c r="B160" s="2">
        <v>27.94</v>
      </c>
      <c r="C160" s="2">
        <v>28.69</v>
      </c>
    </row>
    <row r="161" spans="1:3" x14ac:dyDescent="0.35">
      <c r="A161" s="1">
        <f>DATE(2020, 8, 7)</f>
        <v>44050</v>
      </c>
      <c r="B161" s="2">
        <v>27.99</v>
      </c>
      <c r="C161" s="2">
        <v>28.73</v>
      </c>
    </row>
    <row r="162" spans="1:3" x14ac:dyDescent="0.35">
      <c r="A162" s="1">
        <f>DATE(2020, 8, 10)</f>
        <v>44053</v>
      </c>
      <c r="B162" s="2">
        <v>28.26</v>
      </c>
      <c r="C162" s="2">
        <v>29</v>
      </c>
    </row>
    <row r="163" spans="1:3" x14ac:dyDescent="0.35">
      <c r="A163" s="1">
        <f>DATE(2020, 8, 11)</f>
        <v>44054</v>
      </c>
      <c r="B163" s="2">
        <v>27.76</v>
      </c>
      <c r="C163" s="2">
        <v>28.5</v>
      </c>
    </row>
    <row r="164" spans="1:3" x14ac:dyDescent="0.35">
      <c r="A164" s="1">
        <f>DATE(2020, 8, 12)</f>
        <v>44055</v>
      </c>
      <c r="B164" s="2">
        <v>27.52</v>
      </c>
      <c r="C164" s="2">
        <v>28.26</v>
      </c>
    </row>
    <row r="165" spans="1:3" x14ac:dyDescent="0.35">
      <c r="A165" s="1">
        <f>DATE(2020, 8, 13)</f>
        <v>44056</v>
      </c>
      <c r="B165" s="2">
        <v>26.97</v>
      </c>
      <c r="C165" s="2">
        <v>27.7</v>
      </c>
    </row>
    <row r="166" spans="1:3" x14ac:dyDescent="0.35">
      <c r="A166" s="1">
        <f>DATE(2020, 8, 14)</f>
        <v>44057</v>
      </c>
      <c r="B166" s="2">
        <v>27.02</v>
      </c>
      <c r="C166" s="2">
        <v>27.75</v>
      </c>
    </row>
    <row r="167" spans="1:3" x14ac:dyDescent="0.35">
      <c r="A167" s="1">
        <f>DATE(2020, 8, 17)</f>
        <v>44060</v>
      </c>
      <c r="B167" s="2">
        <v>27.83</v>
      </c>
      <c r="C167" s="2">
        <v>28.56</v>
      </c>
    </row>
    <row r="168" spans="1:3" x14ac:dyDescent="0.35">
      <c r="A168" s="1">
        <f>DATE(2020, 8, 18)</f>
        <v>44061</v>
      </c>
      <c r="B168" s="2">
        <v>28.04</v>
      </c>
      <c r="C168" s="2">
        <v>28.77</v>
      </c>
    </row>
    <row r="169" spans="1:3" x14ac:dyDescent="0.35">
      <c r="A169" s="1">
        <f>DATE(2020, 8, 19)</f>
        <v>44062</v>
      </c>
      <c r="B169" s="2">
        <v>27.71</v>
      </c>
      <c r="C169" s="2">
        <v>28.44</v>
      </c>
    </row>
    <row r="170" spans="1:3" x14ac:dyDescent="0.35">
      <c r="A170" s="1">
        <f>DATE(2020, 8, 20)</f>
        <v>44063</v>
      </c>
      <c r="B170" s="2">
        <v>27.34</v>
      </c>
      <c r="C170" s="2">
        <v>28.05</v>
      </c>
    </row>
    <row r="171" spans="1:3" x14ac:dyDescent="0.35">
      <c r="A171" s="1">
        <f>DATE(2020, 8, 21)</f>
        <v>44064</v>
      </c>
      <c r="B171" s="2">
        <v>27.06</v>
      </c>
      <c r="C171" s="2">
        <v>27.77</v>
      </c>
    </row>
    <row r="172" spans="1:3" x14ac:dyDescent="0.35">
      <c r="A172" s="1">
        <f>DATE(2020, 8, 24)</f>
        <v>44067</v>
      </c>
      <c r="B172" s="2">
        <v>28.88</v>
      </c>
      <c r="C172" s="2">
        <v>29.59</v>
      </c>
    </row>
    <row r="173" spans="1:3" x14ac:dyDescent="0.35">
      <c r="A173" s="1">
        <f>DATE(2020, 8, 25)</f>
        <v>44068</v>
      </c>
      <c r="B173" s="2">
        <v>30.02</v>
      </c>
      <c r="C173" s="2">
        <v>30.73</v>
      </c>
    </row>
    <row r="174" spans="1:3" x14ac:dyDescent="0.35">
      <c r="A174" s="1">
        <f>DATE(2020, 8, 26)</f>
        <v>44069</v>
      </c>
      <c r="B174" s="2">
        <v>30.06</v>
      </c>
      <c r="C174" s="2">
        <v>30.77</v>
      </c>
    </row>
    <row r="175" spans="1:3" x14ac:dyDescent="0.35">
      <c r="A175" s="1">
        <f>DATE(2020, 8, 27)</f>
        <v>44070</v>
      </c>
      <c r="B175" s="2">
        <v>29.82</v>
      </c>
      <c r="C175" s="2">
        <v>30.53</v>
      </c>
    </row>
    <row r="176" spans="1:3" x14ac:dyDescent="0.35">
      <c r="A176" s="1">
        <f>DATE(2020, 8, 28)</f>
        <v>44071</v>
      </c>
      <c r="B176" s="2">
        <v>30.97</v>
      </c>
      <c r="C176" s="2">
        <v>31.68</v>
      </c>
    </row>
    <row r="177" spans="1:3" x14ac:dyDescent="0.35">
      <c r="A177" s="1">
        <f>DATE(2020, 8, 31)</f>
        <v>44074</v>
      </c>
      <c r="B177" s="2">
        <v>30.11</v>
      </c>
      <c r="C177" s="2">
        <v>30.82</v>
      </c>
    </row>
    <row r="178" spans="1:3" x14ac:dyDescent="0.35">
      <c r="A178" s="1">
        <f>DATE(2020, 9, 1)</f>
        <v>44075</v>
      </c>
      <c r="B178" s="2">
        <v>29.2</v>
      </c>
      <c r="C178" s="2">
        <v>29.91</v>
      </c>
    </row>
    <row r="179" spans="1:3" x14ac:dyDescent="0.35">
      <c r="A179" s="1">
        <f>DATE(2020, 9, 2)</f>
        <v>44076</v>
      </c>
      <c r="B179" s="2">
        <v>29.65</v>
      </c>
      <c r="C179" s="2">
        <v>30.36</v>
      </c>
    </row>
    <row r="180" spans="1:3" x14ac:dyDescent="0.35">
      <c r="A180" s="1">
        <f>DATE(2020, 9, 3)</f>
        <v>44077</v>
      </c>
      <c r="B180" s="2">
        <v>30.1</v>
      </c>
      <c r="C180" s="2">
        <v>30.81</v>
      </c>
    </row>
    <row r="181" spans="1:3" x14ac:dyDescent="0.35">
      <c r="A181" s="1">
        <f>DATE(2020, 9, 4)</f>
        <v>44078</v>
      </c>
      <c r="B181" s="2">
        <v>28.69</v>
      </c>
      <c r="C181" s="2">
        <v>29.37</v>
      </c>
    </row>
    <row r="182" spans="1:3" x14ac:dyDescent="0.35">
      <c r="A182" s="1">
        <f>DATE(2020, 9, 7)</f>
        <v>44081</v>
      </c>
      <c r="B182" s="2">
        <v>28.36</v>
      </c>
      <c r="C182" s="2">
        <v>28.97</v>
      </c>
    </row>
    <row r="183" spans="1:3" x14ac:dyDescent="0.35">
      <c r="A183" s="1">
        <f>DATE(2020, 9, 8)</f>
        <v>44082</v>
      </c>
      <c r="B183" s="2">
        <v>28.05</v>
      </c>
      <c r="C183" s="2">
        <v>28.66</v>
      </c>
    </row>
    <row r="184" spans="1:3" x14ac:dyDescent="0.35">
      <c r="A184" s="1">
        <f>DATE(2020, 9, 9)</f>
        <v>44083</v>
      </c>
      <c r="B184" s="2">
        <v>28.46</v>
      </c>
      <c r="C184" s="2">
        <v>29.07</v>
      </c>
    </row>
    <row r="185" spans="1:3" x14ac:dyDescent="0.35">
      <c r="A185" s="1">
        <f>DATE(2020, 9, 10)</f>
        <v>44084</v>
      </c>
      <c r="B185" s="2">
        <v>29.66</v>
      </c>
      <c r="C185" s="2">
        <v>30.27</v>
      </c>
    </row>
    <row r="186" spans="1:3" x14ac:dyDescent="0.35">
      <c r="A186" s="1">
        <f>DATE(2020, 9, 11)</f>
        <v>44085</v>
      </c>
      <c r="B186" s="2">
        <v>29.49</v>
      </c>
      <c r="C186" s="2">
        <v>30.11</v>
      </c>
    </row>
    <row r="187" spans="1:3" x14ac:dyDescent="0.35">
      <c r="A187" s="1">
        <f>DATE(2020, 9, 14)</f>
        <v>44088</v>
      </c>
      <c r="B187" s="2">
        <v>31.7</v>
      </c>
      <c r="C187" s="2">
        <v>32.32</v>
      </c>
    </row>
    <row r="188" spans="1:3" x14ac:dyDescent="0.35">
      <c r="A188" s="1">
        <f>DATE(2020, 9, 15)</f>
        <v>44089</v>
      </c>
      <c r="B188" s="2">
        <v>31.03</v>
      </c>
      <c r="C188" s="2">
        <v>31.67</v>
      </c>
    </row>
    <row r="189" spans="1:3" x14ac:dyDescent="0.35">
      <c r="A189" s="1">
        <f>DATE(2020, 9, 16)</f>
        <v>44090</v>
      </c>
      <c r="B189" s="2">
        <v>31.22</v>
      </c>
      <c r="C189" s="2">
        <v>31.86</v>
      </c>
    </row>
    <row r="190" spans="1:3" x14ac:dyDescent="0.35">
      <c r="A190" s="1">
        <f>DATE(2020, 9, 17)</f>
        <v>44091</v>
      </c>
      <c r="B190" s="2">
        <v>29.65</v>
      </c>
      <c r="C190" s="2">
        <v>30.28</v>
      </c>
    </row>
    <row r="191" spans="1:3" x14ac:dyDescent="0.35">
      <c r="A191" s="1">
        <f>DATE(2020, 9, 18)</f>
        <v>44092</v>
      </c>
      <c r="B191" s="2">
        <v>29.19</v>
      </c>
      <c r="C191" s="2">
        <v>29.81</v>
      </c>
    </row>
    <row r="192" spans="1:3" x14ac:dyDescent="0.35">
      <c r="A192" s="1">
        <f>DATE(2020, 9, 21)</f>
        <v>44095</v>
      </c>
      <c r="B192" s="2">
        <v>27.53</v>
      </c>
      <c r="C192" s="2">
        <v>28.11</v>
      </c>
    </row>
    <row r="193" spans="1:3" x14ac:dyDescent="0.35">
      <c r="A193" s="1">
        <f>DATE(2020, 9, 22)</f>
        <v>44096</v>
      </c>
      <c r="B193" s="2">
        <v>28.94</v>
      </c>
      <c r="C193" s="2">
        <v>29.5</v>
      </c>
    </row>
    <row r="194" spans="1:3" x14ac:dyDescent="0.35">
      <c r="A194" s="1">
        <f>DATE(2020, 9, 23)</f>
        <v>44097</v>
      </c>
      <c r="B194" s="2">
        <v>27.61</v>
      </c>
      <c r="C194" s="2">
        <v>28.17</v>
      </c>
    </row>
    <row r="195" spans="1:3" x14ac:dyDescent="0.35">
      <c r="A195" s="1">
        <f>DATE(2020, 9, 24)</f>
        <v>44098</v>
      </c>
      <c r="B195" s="2">
        <v>27.88</v>
      </c>
      <c r="C195" s="2">
        <v>28.44</v>
      </c>
    </row>
    <row r="196" spans="1:3" x14ac:dyDescent="0.35">
      <c r="A196" s="1">
        <f>DATE(2020, 9, 25)</f>
        <v>44099</v>
      </c>
      <c r="B196" s="2">
        <v>27.23</v>
      </c>
      <c r="C196" s="2">
        <v>27.77</v>
      </c>
    </row>
    <row r="197" spans="1:3" x14ac:dyDescent="0.35">
      <c r="A197" s="1">
        <f>DATE(2020, 9, 28)</f>
        <v>44102</v>
      </c>
      <c r="B197" s="2">
        <v>28.76</v>
      </c>
      <c r="C197" s="2">
        <v>29.3</v>
      </c>
    </row>
    <row r="198" spans="1:3" x14ac:dyDescent="0.35">
      <c r="A198" s="1">
        <f>DATE(2020, 9, 29)</f>
        <v>44103</v>
      </c>
      <c r="B198" s="2">
        <v>27.83</v>
      </c>
      <c r="C198" s="2">
        <v>28.37</v>
      </c>
    </row>
    <row r="199" spans="1:3" x14ac:dyDescent="0.35">
      <c r="A199" s="1">
        <f>DATE(2020, 9, 30)</f>
        <v>44104</v>
      </c>
      <c r="B199" s="2">
        <v>27.96</v>
      </c>
      <c r="C199" s="2">
        <v>28.5</v>
      </c>
    </row>
    <row r="200" spans="1:3" x14ac:dyDescent="0.35">
      <c r="A200" s="1">
        <f>DATE(2020, 10, 1)</f>
        <v>44105</v>
      </c>
      <c r="B200" s="2">
        <v>27.52</v>
      </c>
      <c r="C200" s="2">
        <v>28.05</v>
      </c>
    </row>
    <row r="201" spans="1:3" x14ac:dyDescent="0.35">
      <c r="A201" s="1">
        <f>DATE(2020, 10, 2)</f>
        <v>44106</v>
      </c>
      <c r="B201" s="2">
        <v>28.04</v>
      </c>
      <c r="C201" s="2">
        <v>28.57</v>
      </c>
    </row>
    <row r="202" spans="1:3" x14ac:dyDescent="0.35">
      <c r="A202" s="1">
        <f>DATE(2020, 10, 5)</f>
        <v>44109</v>
      </c>
      <c r="B202" s="2">
        <v>27.94</v>
      </c>
      <c r="C202" s="2">
        <v>28.56</v>
      </c>
    </row>
    <row r="203" spans="1:3" x14ac:dyDescent="0.35">
      <c r="A203" s="1">
        <f>DATE(2020, 10, 6)</f>
        <v>44110</v>
      </c>
      <c r="B203" s="2">
        <v>27.78</v>
      </c>
      <c r="C203" s="2">
        <v>28.4</v>
      </c>
    </row>
    <row r="204" spans="1:3" x14ac:dyDescent="0.35">
      <c r="A204" s="1">
        <f>DATE(2020, 10, 7)</f>
        <v>44111</v>
      </c>
      <c r="B204" s="2">
        <v>27.88</v>
      </c>
      <c r="C204" s="2">
        <v>28.49</v>
      </c>
    </row>
    <row r="205" spans="1:3" x14ac:dyDescent="0.35">
      <c r="A205" s="1">
        <f>DATE(2020, 10, 8)</f>
        <v>44112</v>
      </c>
      <c r="B205" s="2">
        <v>27.33</v>
      </c>
      <c r="C205" s="2">
        <v>27.94</v>
      </c>
    </row>
    <row r="206" spans="1:3" x14ac:dyDescent="0.35">
      <c r="A206" s="1">
        <f>DATE(2020, 10, 9)</f>
        <v>44113</v>
      </c>
      <c r="B206" s="2">
        <v>26.68</v>
      </c>
      <c r="C206" s="2">
        <v>27.3</v>
      </c>
    </row>
    <row r="207" spans="1:3" x14ac:dyDescent="0.35">
      <c r="A207" s="1">
        <f>DATE(2020, 10, 12)</f>
        <v>44116</v>
      </c>
      <c r="B207" s="2">
        <v>26.84</v>
      </c>
      <c r="C207" s="2">
        <v>27.46</v>
      </c>
    </row>
    <row r="208" spans="1:3" x14ac:dyDescent="0.35">
      <c r="A208" s="1">
        <f>DATE(2020, 10, 13)</f>
        <v>44117</v>
      </c>
      <c r="B208" s="2">
        <v>26.19</v>
      </c>
      <c r="C208" s="2">
        <v>26.78</v>
      </c>
    </row>
    <row r="209" spans="1:3" x14ac:dyDescent="0.35">
      <c r="A209" s="1">
        <f>DATE(2020, 10, 14)</f>
        <v>44118</v>
      </c>
      <c r="B209" s="2">
        <v>26.72</v>
      </c>
      <c r="C209" s="2">
        <v>27.31</v>
      </c>
    </row>
    <row r="210" spans="1:3" x14ac:dyDescent="0.35">
      <c r="A210" s="1">
        <f>DATE(2020, 10, 15)</f>
        <v>44119</v>
      </c>
      <c r="B210" s="2">
        <v>25.9</v>
      </c>
      <c r="C210" s="2">
        <v>26.49</v>
      </c>
    </row>
    <row r="211" spans="1:3" x14ac:dyDescent="0.35">
      <c r="A211" s="1">
        <f>DATE(2020, 10, 16)</f>
        <v>44120</v>
      </c>
      <c r="B211" s="2">
        <v>25.83</v>
      </c>
      <c r="C211" s="2">
        <v>26.42</v>
      </c>
    </row>
    <row r="212" spans="1:3" x14ac:dyDescent="0.35">
      <c r="A212" s="1">
        <f>DATE(2020, 10, 19)</f>
        <v>44123</v>
      </c>
      <c r="B212" s="2">
        <v>25.92</v>
      </c>
      <c r="C212" s="2">
        <v>26.51</v>
      </c>
    </row>
    <row r="213" spans="1:3" x14ac:dyDescent="0.35">
      <c r="A213" s="1">
        <f>DATE(2020, 10, 20)</f>
        <v>44124</v>
      </c>
      <c r="B213" s="2">
        <v>25.35</v>
      </c>
      <c r="C213" s="2">
        <v>25.94</v>
      </c>
    </row>
    <row r="214" spans="1:3" x14ac:dyDescent="0.35">
      <c r="A214" s="1">
        <f>DATE(2020, 10, 21)</f>
        <v>44125</v>
      </c>
      <c r="B214" s="2">
        <v>24.48</v>
      </c>
      <c r="C214" s="2">
        <v>25.1</v>
      </c>
    </row>
    <row r="215" spans="1:3" x14ac:dyDescent="0.35">
      <c r="A215" s="1">
        <f>DATE(2020, 10, 22)</f>
        <v>44126</v>
      </c>
      <c r="B215" s="2">
        <v>25.08</v>
      </c>
      <c r="C215" s="2">
        <v>25.7</v>
      </c>
    </row>
    <row r="216" spans="1:3" x14ac:dyDescent="0.35">
      <c r="A216" s="1">
        <f>DATE(2020, 10, 23)</f>
        <v>44127</v>
      </c>
      <c r="B216" s="2">
        <v>26.38</v>
      </c>
      <c r="C216" s="2">
        <v>27</v>
      </c>
    </row>
    <row r="217" spans="1:3" x14ac:dyDescent="0.35">
      <c r="A217" s="1">
        <f>DATE(2020, 10, 26)</f>
        <v>44130</v>
      </c>
      <c r="B217" s="2">
        <v>24.75</v>
      </c>
      <c r="C217" s="2">
        <v>25.35</v>
      </c>
    </row>
    <row r="218" spans="1:3" x14ac:dyDescent="0.35">
      <c r="A218" s="1">
        <f>DATE(2020, 10, 27)</f>
        <v>44131</v>
      </c>
      <c r="B218" s="2">
        <v>24.95</v>
      </c>
      <c r="C218" s="2">
        <v>25.55</v>
      </c>
    </row>
    <row r="219" spans="1:3" x14ac:dyDescent="0.35">
      <c r="A219" s="1">
        <f>DATE(2020, 10, 28)</f>
        <v>44132</v>
      </c>
      <c r="B219" s="2">
        <v>23.91</v>
      </c>
      <c r="C219" s="2">
        <v>24.51</v>
      </c>
    </row>
    <row r="220" spans="1:3" x14ac:dyDescent="0.35">
      <c r="A220" s="1">
        <f>DATE(2020, 10, 29)</f>
        <v>44133</v>
      </c>
      <c r="B220" s="2">
        <v>24.54</v>
      </c>
      <c r="C220" s="2">
        <v>25.14</v>
      </c>
    </row>
    <row r="221" spans="1:3" x14ac:dyDescent="0.35">
      <c r="A221" s="1">
        <f>DATE(2020, 10, 30)</f>
        <v>44134</v>
      </c>
      <c r="B221" s="2">
        <v>24.57</v>
      </c>
      <c r="C221" s="2">
        <v>25.17</v>
      </c>
    </row>
    <row r="222" spans="1:3" x14ac:dyDescent="0.35">
      <c r="A222" s="1">
        <f>DATE(2020, 11, 2)</f>
        <v>44137</v>
      </c>
      <c r="B222" s="2">
        <v>24.54</v>
      </c>
      <c r="C222" s="2">
        <v>25.14</v>
      </c>
    </row>
    <row r="223" spans="1:3" x14ac:dyDescent="0.35">
      <c r="A223" s="1">
        <f>DATE(2020, 11, 3)</f>
        <v>44138</v>
      </c>
      <c r="B223" s="2">
        <v>25.25</v>
      </c>
      <c r="C223" s="2">
        <v>25.86</v>
      </c>
    </row>
    <row r="224" spans="1:3" x14ac:dyDescent="0.35">
      <c r="A224" s="1">
        <f>DATE(2020, 11, 4)</f>
        <v>44139</v>
      </c>
      <c r="B224" s="2">
        <v>25.97</v>
      </c>
      <c r="C224" s="2">
        <v>26.58</v>
      </c>
    </row>
    <row r="225" spans="1:3" x14ac:dyDescent="0.35">
      <c r="A225" s="1">
        <f>DATE(2020, 11, 5)</f>
        <v>44140</v>
      </c>
      <c r="B225" s="2">
        <v>26.83</v>
      </c>
      <c r="C225" s="2">
        <v>27.44</v>
      </c>
    </row>
    <row r="226" spans="1:3" x14ac:dyDescent="0.35">
      <c r="A226" s="1">
        <f>DATE(2020, 11, 6)</f>
        <v>44141</v>
      </c>
      <c r="B226" s="2">
        <v>26.23</v>
      </c>
      <c r="C226" s="2">
        <v>26.84</v>
      </c>
    </row>
    <row r="227" spans="1:3" x14ac:dyDescent="0.35">
      <c r="A227" s="1">
        <f>DATE(2020, 11, 9)</f>
        <v>44144</v>
      </c>
      <c r="B227" s="2">
        <v>27.35</v>
      </c>
      <c r="C227" s="2">
        <v>27.96</v>
      </c>
    </row>
    <row r="228" spans="1:3" x14ac:dyDescent="0.35">
      <c r="A228" s="1">
        <f>DATE(2020, 11, 10)</f>
        <v>44145</v>
      </c>
      <c r="B228" s="2">
        <v>26.99</v>
      </c>
      <c r="C228" s="2">
        <v>27.62</v>
      </c>
    </row>
    <row r="229" spans="1:3" x14ac:dyDescent="0.35">
      <c r="A229" s="1">
        <f>DATE(2020, 11, 11)</f>
        <v>44146</v>
      </c>
      <c r="B229" s="2">
        <v>26.85</v>
      </c>
      <c r="C229" s="2">
        <v>27.46</v>
      </c>
    </row>
    <row r="230" spans="1:3" x14ac:dyDescent="0.35">
      <c r="A230" s="1">
        <f>DATE(2020, 11, 12)</f>
        <v>44147</v>
      </c>
      <c r="B230" s="2">
        <v>26.64</v>
      </c>
      <c r="C230" s="2">
        <v>27.25</v>
      </c>
    </row>
    <row r="231" spans="1:3" x14ac:dyDescent="0.35">
      <c r="A231" s="1">
        <f>DATE(2020, 11, 13)</f>
        <v>44148</v>
      </c>
      <c r="B231" s="2">
        <v>27.01</v>
      </c>
      <c r="C231" s="2">
        <v>27.6</v>
      </c>
    </row>
    <row r="232" spans="1:3" x14ac:dyDescent="0.35">
      <c r="A232" s="1">
        <f>DATE(2020, 11, 16)</f>
        <v>44151</v>
      </c>
      <c r="B232" s="2">
        <v>28.11</v>
      </c>
      <c r="C232" s="2">
        <v>28.7</v>
      </c>
    </row>
    <row r="233" spans="1:3" x14ac:dyDescent="0.35">
      <c r="A233" s="1">
        <f>DATE(2020, 11, 17)</f>
        <v>44152</v>
      </c>
      <c r="B233" s="2">
        <v>27.38</v>
      </c>
      <c r="C233" s="2">
        <v>27.97</v>
      </c>
    </row>
    <row r="234" spans="1:3" x14ac:dyDescent="0.35">
      <c r="A234" s="1">
        <f>DATE(2020, 11, 18)</f>
        <v>44153</v>
      </c>
      <c r="B234" s="2">
        <v>27.92</v>
      </c>
      <c r="C234" s="2">
        <v>28.42</v>
      </c>
    </row>
    <row r="235" spans="1:3" x14ac:dyDescent="0.35">
      <c r="A235" s="1">
        <f>DATE(2020, 11, 19)</f>
        <v>44154</v>
      </c>
      <c r="B235" s="2">
        <v>27.08</v>
      </c>
      <c r="C235" s="2">
        <v>27.58</v>
      </c>
    </row>
    <row r="236" spans="1:3" x14ac:dyDescent="0.35">
      <c r="A236" s="1">
        <f>DATE(2020, 11, 20)</f>
        <v>44155</v>
      </c>
      <c r="B236" s="2">
        <v>27.48</v>
      </c>
      <c r="C236" s="2">
        <v>27.98</v>
      </c>
    </row>
    <row r="237" spans="1:3" x14ac:dyDescent="0.35">
      <c r="A237" s="1">
        <f>DATE(2020, 11, 23)</f>
        <v>44158</v>
      </c>
      <c r="B237" s="2">
        <v>28.01</v>
      </c>
      <c r="C237" s="2">
        <v>28.51</v>
      </c>
    </row>
    <row r="238" spans="1:3" x14ac:dyDescent="0.35">
      <c r="A238" s="1">
        <f>DATE(2020, 11, 24)</f>
        <v>44159</v>
      </c>
      <c r="B238" s="2">
        <v>28.42</v>
      </c>
      <c r="C238" s="2">
        <v>28.91</v>
      </c>
    </row>
    <row r="239" spans="1:3" x14ac:dyDescent="0.35">
      <c r="A239" s="1">
        <f>DATE(2020, 11, 25)</f>
        <v>44160</v>
      </c>
      <c r="B239" s="2">
        <v>28.39</v>
      </c>
      <c r="C239" s="2">
        <v>28.9</v>
      </c>
    </row>
    <row r="240" spans="1:3" x14ac:dyDescent="0.35">
      <c r="A240" s="1">
        <f>DATE(2020, 11, 26)</f>
        <v>44161</v>
      </c>
      <c r="B240" s="2">
        <v>28.9</v>
      </c>
      <c r="C240" s="2">
        <v>29.41</v>
      </c>
    </row>
    <row r="241" spans="1:3" x14ac:dyDescent="0.35">
      <c r="A241" s="1">
        <f>DATE(2020, 11, 27)</f>
        <v>44162</v>
      </c>
      <c r="B241" s="2">
        <v>28.95</v>
      </c>
      <c r="C241" s="2">
        <v>29.46</v>
      </c>
    </row>
    <row r="242" spans="1:3" x14ac:dyDescent="0.35">
      <c r="A242" s="1">
        <f>DATE(2020, 11, 30)</f>
        <v>44165</v>
      </c>
      <c r="B242" s="2">
        <v>29.97</v>
      </c>
      <c r="C242" s="2">
        <v>30.47</v>
      </c>
    </row>
    <row r="243" spans="1:3" x14ac:dyDescent="0.35">
      <c r="A243" s="1">
        <f>DATE(2020, 12, 1)</f>
        <v>44166</v>
      </c>
      <c r="B243" s="2">
        <v>29.69</v>
      </c>
      <c r="C243" s="2">
        <v>30.21</v>
      </c>
    </row>
    <row r="244" spans="1:3" x14ac:dyDescent="0.35">
      <c r="A244" s="1">
        <f>DATE(2020, 12, 2)</f>
        <v>44167</v>
      </c>
      <c r="B244" s="2">
        <v>30.38</v>
      </c>
      <c r="C244" s="2">
        <v>30.9</v>
      </c>
    </row>
    <row r="245" spans="1:3" x14ac:dyDescent="0.35">
      <c r="A245" s="1">
        <f>DATE(2020, 12, 3)</f>
        <v>44168</v>
      </c>
      <c r="B245" s="2">
        <v>29.81</v>
      </c>
      <c r="C245" s="2">
        <v>30.33</v>
      </c>
    </row>
    <row r="246" spans="1:3" x14ac:dyDescent="0.35">
      <c r="A246" s="1">
        <f>DATE(2020, 12, 4)</f>
        <v>44169</v>
      </c>
      <c r="B246" s="2">
        <v>30.89</v>
      </c>
      <c r="C246" s="2">
        <v>31.42</v>
      </c>
    </row>
    <row r="247" spans="1:3" x14ac:dyDescent="0.35">
      <c r="A247" s="1">
        <f>DATE(2020, 12, 7)</f>
        <v>44172</v>
      </c>
      <c r="B247" s="2">
        <v>30.43</v>
      </c>
      <c r="C247" s="2">
        <v>30.93</v>
      </c>
    </row>
    <row r="248" spans="1:3" x14ac:dyDescent="0.35">
      <c r="A248" s="1">
        <f>DATE(2020, 12, 8)</f>
        <v>44173</v>
      </c>
      <c r="B248" s="2">
        <v>30.37</v>
      </c>
      <c r="C248" s="2">
        <v>30.87</v>
      </c>
    </row>
    <row r="249" spans="1:3" x14ac:dyDescent="0.35">
      <c r="A249" s="1">
        <f>DATE(2020, 12, 9)</f>
        <v>44174</v>
      </c>
      <c r="B249" s="2">
        <v>30.5</v>
      </c>
      <c r="C249" s="2">
        <v>30.99</v>
      </c>
    </row>
    <row r="250" spans="1:3" x14ac:dyDescent="0.35">
      <c r="A250" s="1">
        <f>DATE(2020, 12, 10)</f>
        <v>44175</v>
      </c>
      <c r="B250" s="2">
        <v>31.69</v>
      </c>
      <c r="C250" s="2">
        <v>32.18</v>
      </c>
    </row>
    <row r="251" spans="1:3" x14ac:dyDescent="0.35">
      <c r="A251" s="1">
        <f>DATE(2020, 12, 11)</f>
        <v>44176</v>
      </c>
      <c r="B251" s="2">
        <v>31.31</v>
      </c>
      <c r="C251" s="2">
        <v>31.8</v>
      </c>
    </row>
    <row r="252" spans="1:3" x14ac:dyDescent="0.35">
      <c r="A252" s="1">
        <f>DATE(2020, 12, 14)</f>
        <v>44179</v>
      </c>
      <c r="B252" s="2">
        <v>31.58</v>
      </c>
      <c r="C252" s="2">
        <v>32.07</v>
      </c>
    </row>
    <row r="253" spans="1:3" x14ac:dyDescent="0.35">
      <c r="A253" s="1">
        <f>DATE(2020, 12, 15)</f>
        <v>44180</v>
      </c>
      <c r="B253" s="2">
        <v>32.76</v>
      </c>
      <c r="C253" s="2">
        <v>33.22</v>
      </c>
    </row>
    <row r="254" spans="1:3" x14ac:dyDescent="0.35">
      <c r="A254" s="1">
        <f>DATE(2020, 12, 16)</f>
        <v>44181</v>
      </c>
      <c r="B254" s="2">
        <v>32.35</v>
      </c>
      <c r="C254" s="2">
        <v>32.81</v>
      </c>
    </row>
    <row r="255" spans="1:3" x14ac:dyDescent="0.35">
      <c r="A255" s="1">
        <f>DATE(2020, 12, 17)</f>
        <v>44182</v>
      </c>
      <c r="B255" s="2">
        <v>32.53</v>
      </c>
      <c r="C255" s="2">
        <v>32.99</v>
      </c>
    </row>
    <row r="256" spans="1:3" x14ac:dyDescent="0.35">
      <c r="A256" s="1">
        <f>DATE(2020, 12, 18)</f>
        <v>44183</v>
      </c>
      <c r="B256" s="2">
        <v>31.7</v>
      </c>
      <c r="C256" s="2">
        <v>32.15</v>
      </c>
    </row>
    <row r="257" spans="1:3" x14ac:dyDescent="0.35">
      <c r="A257" s="1">
        <f>DATE(2020, 12, 21)</f>
        <v>44186</v>
      </c>
      <c r="B257" s="2">
        <v>31.47</v>
      </c>
      <c r="C257" s="2">
        <v>31.92</v>
      </c>
    </row>
    <row r="258" spans="1:3" x14ac:dyDescent="0.35">
      <c r="A258" s="1">
        <f>DATE(2020, 12, 22)</f>
        <v>44187</v>
      </c>
      <c r="B258" s="2">
        <v>31.72</v>
      </c>
      <c r="C258" s="2">
        <v>32.17</v>
      </c>
    </row>
    <row r="259" spans="1:3" x14ac:dyDescent="0.35">
      <c r="A259" s="1">
        <f>DATE(2020, 12, 23)</f>
        <v>44188</v>
      </c>
      <c r="B259" s="2">
        <v>32.479999999999997</v>
      </c>
      <c r="C259" s="2">
        <v>32.93</v>
      </c>
    </row>
    <row r="260" spans="1:3" x14ac:dyDescent="0.35">
      <c r="A260" s="1">
        <f>DATE(2020, 12, 24)</f>
        <v>44189</v>
      </c>
      <c r="B260" s="2"/>
      <c r="C260" s="2"/>
    </row>
    <row r="261" spans="1:3" x14ac:dyDescent="0.35">
      <c r="A261" s="1">
        <f>DATE(2020, 12, 25)</f>
        <v>44190</v>
      </c>
      <c r="B261" s="2"/>
      <c r="C261" s="2"/>
    </row>
    <row r="262" spans="1:3" x14ac:dyDescent="0.35">
      <c r="A262" s="1">
        <f>DATE(2020, 12, 28)</f>
        <v>44193</v>
      </c>
      <c r="B262" s="2">
        <v>34</v>
      </c>
      <c r="C262" s="2">
        <v>34.46</v>
      </c>
    </row>
    <row r="263" spans="1:3" x14ac:dyDescent="0.35">
      <c r="A263" s="1">
        <f>DATE(2020, 12, 29)</f>
        <v>44194</v>
      </c>
      <c r="B263" s="2">
        <v>33.58</v>
      </c>
      <c r="C263" s="2">
        <v>34.049999999999997</v>
      </c>
    </row>
    <row r="264" spans="1:3" x14ac:dyDescent="0.35">
      <c r="A264" s="1">
        <f>DATE(2020, 12, 30)</f>
        <v>44195</v>
      </c>
      <c r="B264" s="2">
        <v>32.75</v>
      </c>
      <c r="C264" s="2">
        <v>33.22</v>
      </c>
    </row>
    <row r="265" spans="1:3" x14ac:dyDescent="0.35">
      <c r="A265" s="1">
        <f>DATE(2020, 12, 31)</f>
        <v>44196</v>
      </c>
      <c r="B265" s="2"/>
      <c r="C265" s="2"/>
    </row>
    <row r="266" spans="1:3" x14ac:dyDescent="0.35">
      <c r="A266" s="1">
        <f>DATE(2021, 1, 1)</f>
        <v>44197</v>
      </c>
      <c r="B266" s="2"/>
      <c r="C266" s="2"/>
    </row>
    <row r="267" spans="1:3" x14ac:dyDescent="0.35">
      <c r="A267" s="1">
        <f>DATE(2021, 1, 4)</f>
        <v>44200</v>
      </c>
      <c r="B267" s="2">
        <v>34.229999999999997</v>
      </c>
      <c r="C267" s="2">
        <v>34.700000000000003</v>
      </c>
    </row>
    <row r="268" spans="1:3" x14ac:dyDescent="0.35">
      <c r="A268" s="1">
        <f>DATE(2021, 1, 5)</f>
        <v>44201</v>
      </c>
      <c r="B268" s="2">
        <v>33.49</v>
      </c>
      <c r="C268" s="2">
        <v>33.97</v>
      </c>
    </row>
    <row r="269" spans="1:3" x14ac:dyDescent="0.35">
      <c r="A269" s="1">
        <f>DATE(2021, 1, 6)</f>
        <v>44202</v>
      </c>
      <c r="B269" s="2">
        <v>34.159999999999997</v>
      </c>
      <c r="C269" s="2">
        <v>34.64</v>
      </c>
    </row>
    <row r="270" spans="1:3" x14ac:dyDescent="0.35">
      <c r="A270" s="1">
        <f>DATE(2021, 1, 7)</f>
        <v>44203</v>
      </c>
      <c r="B270" s="2">
        <v>35.31</v>
      </c>
      <c r="C270" s="2">
        <v>35.79</v>
      </c>
    </row>
    <row r="271" spans="1:3" x14ac:dyDescent="0.35">
      <c r="A271" s="1">
        <f>DATE(2021, 1, 8)</f>
        <v>44204</v>
      </c>
      <c r="B271" s="2">
        <v>35.47</v>
      </c>
      <c r="C271" s="2">
        <v>35.950000000000003</v>
      </c>
    </row>
    <row r="272" spans="1:3" x14ac:dyDescent="0.35">
      <c r="A272" s="1">
        <f>DATE(2021, 1, 11)</f>
        <v>44207</v>
      </c>
      <c r="B272" s="2">
        <v>35.1</v>
      </c>
      <c r="C272" s="2">
        <v>35.630000000000003</v>
      </c>
    </row>
    <row r="273" spans="1:3" x14ac:dyDescent="0.35">
      <c r="A273" s="1">
        <f>DATE(2021, 1, 12)</f>
        <v>44208</v>
      </c>
      <c r="B273" s="2">
        <v>35.22</v>
      </c>
      <c r="C273" s="2">
        <v>35.75</v>
      </c>
    </row>
    <row r="274" spans="1:3" x14ac:dyDescent="0.35">
      <c r="A274" s="1">
        <f>DATE(2021, 1, 13)</f>
        <v>44209</v>
      </c>
      <c r="B274" s="2">
        <v>34.229999999999997</v>
      </c>
      <c r="C274" s="2">
        <v>34.74</v>
      </c>
    </row>
    <row r="275" spans="1:3" x14ac:dyDescent="0.35">
      <c r="A275" s="1">
        <f>DATE(2021, 1, 14)</f>
        <v>44210</v>
      </c>
      <c r="B275" s="2">
        <v>34.119999999999997</v>
      </c>
      <c r="C275" s="2">
        <v>34.619999999999997</v>
      </c>
    </row>
    <row r="276" spans="1:3" x14ac:dyDescent="0.35">
      <c r="A276" s="1">
        <f>DATE(2021, 1, 15)</f>
        <v>44211</v>
      </c>
      <c r="B276" s="2">
        <v>32.31</v>
      </c>
      <c r="C276" s="2">
        <v>32.81</v>
      </c>
    </row>
    <row r="277" spans="1:3" x14ac:dyDescent="0.35">
      <c r="A277" s="1">
        <f>DATE(2021, 1, 18)</f>
        <v>44214</v>
      </c>
      <c r="B277" s="2">
        <v>32.200000000000003</v>
      </c>
      <c r="C277" s="2">
        <v>32.700000000000003</v>
      </c>
    </row>
    <row r="278" spans="1:3" x14ac:dyDescent="0.35">
      <c r="A278" s="1">
        <f>DATE(2021, 1, 19)</f>
        <v>44215</v>
      </c>
      <c r="B278" s="2">
        <v>33.659999999999997</v>
      </c>
      <c r="C278" s="2">
        <v>34.159999999999997</v>
      </c>
    </row>
    <row r="279" spans="1:3" x14ac:dyDescent="0.35">
      <c r="A279" s="1">
        <f>DATE(2021, 1, 20)</f>
        <v>44216</v>
      </c>
      <c r="B279" s="2">
        <v>33.47</v>
      </c>
      <c r="C279" s="2">
        <v>33.99</v>
      </c>
    </row>
    <row r="280" spans="1:3" x14ac:dyDescent="0.35">
      <c r="A280" s="1">
        <f>DATE(2021, 1, 21)</f>
        <v>44217</v>
      </c>
      <c r="B280" s="2">
        <v>34.68</v>
      </c>
      <c r="C280" s="2">
        <v>35.19</v>
      </c>
    </row>
    <row r="281" spans="1:3" x14ac:dyDescent="0.35">
      <c r="A281" s="1">
        <f>DATE(2021, 1, 22)</f>
        <v>44218</v>
      </c>
      <c r="B281" s="2">
        <v>34.81</v>
      </c>
      <c r="C281" s="2">
        <v>35.31</v>
      </c>
    </row>
    <row r="282" spans="1:3" x14ac:dyDescent="0.35">
      <c r="A282" s="1">
        <f>DATE(2021, 1, 25)</f>
        <v>44221</v>
      </c>
      <c r="B282" s="2">
        <v>33.729999999999997</v>
      </c>
      <c r="C282" s="2">
        <v>34.22</v>
      </c>
    </row>
    <row r="283" spans="1:3" x14ac:dyDescent="0.35">
      <c r="A283" s="1">
        <f>DATE(2021, 1, 26)</f>
        <v>44222</v>
      </c>
      <c r="B283" s="2">
        <v>33.9</v>
      </c>
      <c r="C283" s="2">
        <v>34.380000000000003</v>
      </c>
    </row>
    <row r="284" spans="1:3" x14ac:dyDescent="0.35">
      <c r="A284" s="1">
        <f>DATE(2021, 1, 27)</f>
        <v>44223</v>
      </c>
      <c r="B284" s="2">
        <v>33.840000000000003</v>
      </c>
      <c r="C284" s="2">
        <v>34.32</v>
      </c>
    </row>
    <row r="285" spans="1:3" x14ac:dyDescent="0.35">
      <c r="A285" s="1">
        <f>DATE(2021, 1, 28)</f>
        <v>44224</v>
      </c>
      <c r="B285" s="2">
        <v>34.49</v>
      </c>
      <c r="C285" s="2">
        <v>34.979999999999997</v>
      </c>
    </row>
    <row r="286" spans="1:3" x14ac:dyDescent="0.35">
      <c r="A286" s="1">
        <f>DATE(2021, 1, 29)</f>
        <v>44225</v>
      </c>
      <c r="B286" s="2">
        <v>33.520000000000003</v>
      </c>
      <c r="C286" s="2">
        <v>34.01</v>
      </c>
    </row>
    <row r="287" spans="1:3" x14ac:dyDescent="0.35">
      <c r="A287" s="1">
        <f>DATE(2021, 2, 1)</f>
        <v>44228</v>
      </c>
      <c r="B287" s="2">
        <v>33.409999999999997</v>
      </c>
      <c r="C287" s="2">
        <v>33.880000000000003</v>
      </c>
    </row>
    <row r="288" spans="1:3" x14ac:dyDescent="0.35">
      <c r="A288" s="1">
        <f>DATE(2021, 2, 2)</f>
        <v>44229</v>
      </c>
      <c r="B288" s="2">
        <v>35.51</v>
      </c>
      <c r="C288" s="2">
        <v>35.979999999999997</v>
      </c>
    </row>
    <row r="289" spans="1:3" x14ac:dyDescent="0.35">
      <c r="A289" s="1">
        <f>DATE(2021, 2, 3)</f>
        <v>44230</v>
      </c>
      <c r="B289" s="2">
        <v>37.99</v>
      </c>
      <c r="C289" s="2">
        <v>38.46</v>
      </c>
    </row>
    <row r="290" spans="1:3" x14ac:dyDescent="0.35">
      <c r="A290" s="1">
        <f>DATE(2021, 2, 4)</f>
        <v>44231</v>
      </c>
      <c r="B290" s="2">
        <v>37.79</v>
      </c>
      <c r="C290" s="2">
        <v>38.28</v>
      </c>
    </row>
    <row r="291" spans="1:3" x14ac:dyDescent="0.35">
      <c r="A291" s="1">
        <f>DATE(2021, 2, 5)</f>
        <v>44232</v>
      </c>
      <c r="B291" s="2">
        <v>38.74</v>
      </c>
      <c r="C291" s="2">
        <v>39.229999999999997</v>
      </c>
    </row>
    <row r="292" spans="1:3" x14ac:dyDescent="0.35">
      <c r="A292" s="1">
        <f>DATE(2021, 2, 8)</f>
        <v>44235</v>
      </c>
      <c r="B292" s="2">
        <v>39.159999999999997</v>
      </c>
      <c r="C292" s="2">
        <v>39.65</v>
      </c>
    </row>
    <row r="293" spans="1:3" x14ac:dyDescent="0.35">
      <c r="A293" s="1">
        <f>DATE(2021, 2, 9)</f>
        <v>44236</v>
      </c>
      <c r="B293" s="2">
        <v>38.81</v>
      </c>
      <c r="C293" s="2">
        <v>39.31</v>
      </c>
    </row>
    <row r="294" spans="1:3" x14ac:dyDescent="0.35">
      <c r="A294" s="1">
        <f>DATE(2021, 2, 10)</f>
        <v>44237</v>
      </c>
      <c r="B294" s="2">
        <v>39.909999999999997</v>
      </c>
      <c r="C294" s="2">
        <v>40.409999999999997</v>
      </c>
    </row>
    <row r="295" spans="1:3" x14ac:dyDescent="0.35">
      <c r="A295" s="1">
        <f>DATE(2021, 2, 11)</f>
        <v>44238</v>
      </c>
      <c r="B295" s="2">
        <v>39.340000000000003</v>
      </c>
      <c r="C295" s="2">
        <v>39.840000000000003</v>
      </c>
    </row>
    <row r="296" spans="1:3" x14ac:dyDescent="0.35">
      <c r="A296" s="1">
        <f>DATE(2021, 2, 12)</f>
        <v>44239</v>
      </c>
      <c r="B296" s="2">
        <v>40.65</v>
      </c>
      <c r="C296" s="2">
        <v>41.18</v>
      </c>
    </row>
    <row r="297" spans="1:3" x14ac:dyDescent="0.35">
      <c r="A297" s="1">
        <f>DATE(2021, 2, 15)</f>
        <v>44242</v>
      </c>
      <c r="B297" s="2">
        <v>40.270000000000003</v>
      </c>
      <c r="C297" s="2">
        <v>40.840000000000003</v>
      </c>
    </row>
    <row r="298" spans="1:3" x14ac:dyDescent="0.35">
      <c r="A298" s="1">
        <f>DATE(2021, 2, 16)</f>
        <v>44243</v>
      </c>
      <c r="B298" s="2">
        <v>39.61</v>
      </c>
      <c r="C298" s="2">
        <v>40.17</v>
      </c>
    </row>
    <row r="299" spans="1:3" x14ac:dyDescent="0.35">
      <c r="A299" s="1">
        <f>DATE(2021, 2, 17)</f>
        <v>44244</v>
      </c>
      <c r="B299" s="2">
        <v>38.86</v>
      </c>
      <c r="C299" s="2">
        <v>39.409999999999997</v>
      </c>
    </row>
    <row r="300" spans="1:3" x14ac:dyDescent="0.35">
      <c r="A300" s="1">
        <f>DATE(2021, 2, 18)</f>
        <v>44245</v>
      </c>
      <c r="B300" s="2">
        <v>39.06</v>
      </c>
      <c r="C300" s="2">
        <v>39.69</v>
      </c>
    </row>
    <row r="301" spans="1:3" x14ac:dyDescent="0.35">
      <c r="A301" s="1">
        <f>DATE(2021, 2, 19)</f>
        <v>44246</v>
      </c>
      <c r="B301" s="2">
        <v>38.159999999999997</v>
      </c>
      <c r="C301" s="2">
        <v>38.799999999999997</v>
      </c>
    </row>
    <row r="302" spans="1:3" x14ac:dyDescent="0.35">
      <c r="A302" s="1">
        <f>DATE(2021, 2, 22)</f>
        <v>44249</v>
      </c>
      <c r="B302" s="2">
        <v>38.69</v>
      </c>
      <c r="C302" s="2">
        <v>39.340000000000003</v>
      </c>
    </row>
    <row r="303" spans="1:3" x14ac:dyDescent="0.35">
      <c r="A303" s="1">
        <f>DATE(2021, 2, 23)</f>
        <v>44250</v>
      </c>
      <c r="B303" s="2">
        <v>39.4</v>
      </c>
      <c r="C303" s="2">
        <v>40.049999999999997</v>
      </c>
    </row>
    <row r="304" spans="1:3" x14ac:dyDescent="0.35">
      <c r="A304" s="1">
        <f>DATE(2021, 2, 24)</f>
        <v>44251</v>
      </c>
      <c r="B304" s="2">
        <v>39.880000000000003</v>
      </c>
      <c r="C304" s="2">
        <v>40.53</v>
      </c>
    </row>
    <row r="305" spans="1:3" x14ac:dyDescent="0.35">
      <c r="A305" s="1">
        <f>DATE(2021, 2, 25)</f>
        <v>44252</v>
      </c>
      <c r="B305" s="2">
        <v>39.03</v>
      </c>
      <c r="C305" s="2">
        <v>39.69</v>
      </c>
    </row>
    <row r="306" spans="1:3" x14ac:dyDescent="0.35">
      <c r="A306" s="1">
        <f>DATE(2021, 2, 26)</f>
        <v>44253</v>
      </c>
      <c r="B306" s="2">
        <v>38.03</v>
      </c>
      <c r="C306" s="2">
        <v>38.700000000000003</v>
      </c>
    </row>
    <row r="307" spans="1:3" x14ac:dyDescent="0.35">
      <c r="A307" s="1">
        <f>DATE(2021, 3, 1)</f>
        <v>44256</v>
      </c>
      <c r="B307" s="2">
        <v>37.909999999999997</v>
      </c>
      <c r="C307" s="2">
        <v>38.58</v>
      </c>
    </row>
    <row r="308" spans="1:3" x14ac:dyDescent="0.35">
      <c r="A308" s="1">
        <f>DATE(2021, 3, 2)</f>
        <v>44257</v>
      </c>
      <c r="B308" s="2">
        <v>39.14</v>
      </c>
      <c r="C308" s="2">
        <v>39.81</v>
      </c>
    </row>
    <row r="309" spans="1:3" x14ac:dyDescent="0.35">
      <c r="A309" s="1">
        <f>DATE(2021, 3, 3)</f>
        <v>44258</v>
      </c>
      <c r="B309" s="2">
        <v>38.28</v>
      </c>
      <c r="C309" s="2">
        <v>38.950000000000003</v>
      </c>
    </row>
    <row r="310" spans="1:3" x14ac:dyDescent="0.35">
      <c r="A310" s="1">
        <f>DATE(2021, 3, 4)</f>
        <v>44259</v>
      </c>
      <c r="B310" s="2">
        <v>38.96</v>
      </c>
      <c r="C310" s="2">
        <v>39.64</v>
      </c>
    </row>
    <row r="311" spans="1:3" x14ac:dyDescent="0.35">
      <c r="A311" s="1">
        <f>DATE(2021, 3, 5)</f>
        <v>44260</v>
      </c>
      <c r="B311" s="2">
        <v>39.799999999999997</v>
      </c>
      <c r="C311" s="2">
        <v>40.479999999999997</v>
      </c>
    </row>
    <row r="312" spans="1:3" x14ac:dyDescent="0.35">
      <c r="A312" s="1">
        <f>DATE(2021, 3, 8)</f>
        <v>44263</v>
      </c>
      <c r="B312" s="2">
        <v>39.93</v>
      </c>
      <c r="C312" s="2">
        <v>40.61</v>
      </c>
    </row>
    <row r="313" spans="1:3" x14ac:dyDescent="0.35">
      <c r="A313" s="1">
        <f>DATE(2021, 3, 9)</f>
        <v>44264</v>
      </c>
      <c r="B313" s="2">
        <v>41.42</v>
      </c>
      <c r="C313" s="2">
        <v>42.12</v>
      </c>
    </row>
    <row r="314" spans="1:3" x14ac:dyDescent="0.35">
      <c r="A314" s="1">
        <f>DATE(2021, 3, 10)</f>
        <v>44265</v>
      </c>
      <c r="B314" s="2">
        <v>42.33</v>
      </c>
      <c r="C314" s="2">
        <v>43.03</v>
      </c>
    </row>
    <row r="315" spans="1:3" x14ac:dyDescent="0.35">
      <c r="A315" s="1">
        <f>DATE(2021, 3, 11)</f>
        <v>44266</v>
      </c>
      <c r="B315" s="2">
        <v>42.73</v>
      </c>
      <c r="C315" s="2">
        <v>43.42</v>
      </c>
    </row>
    <row r="316" spans="1:3" x14ac:dyDescent="0.35">
      <c r="A316" s="1">
        <f>DATE(2021, 3, 12)</f>
        <v>44267</v>
      </c>
      <c r="B316" s="2">
        <v>43.65</v>
      </c>
      <c r="C316" s="2">
        <v>44.34</v>
      </c>
    </row>
    <row r="317" spans="1:3" x14ac:dyDescent="0.35">
      <c r="A317" s="1">
        <f>DATE(2021, 3, 15)</f>
        <v>44270</v>
      </c>
      <c r="B317" s="2">
        <v>43.22</v>
      </c>
      <c r="C317" s="2">
        <v>43.89</v>
      </c>
    </row>
    <row r="318" spans="1:3" x14ac:dyDescent="0.35">
      <c r="A318" s="1">
        <f>DATE(2021, 3, 16)</f>
        <v>44271</v>
      </c>
      <c r="B318" s="2">
        <v>42.42</v>
      </c>
      <c r="C318" s="2">
        <v>43.11</v>
      </c>
    </row>
    <row r="319" spans="1:3" x14ac:dyDescent="0.35">
      <c r="A319" s="1">
        <f>DATE(2021, 3, 17)</f>
        <v>44272</v>
      </c>
      <c r="B319" s="2">
        <v>43.8</v>
      </c>
      <c r="C319" s="2">
        <v>0</v>
      </c>
    </row>
    <row r="320" spans="1:3" x14ac:dyDescent="0.35">
      <c r="A320" s="1">
        <f>DATE(2021, 3, 18)</f>
        <v>44273</v>
      </c>
      <c r="B320" s="2">
        <v>43.23</v>
      </c>
      <c r="C320" s="2">
        <v>43.92</v>
      </c>
    </row>
    <row r="321" spans="1:3" x14ac:dyDescent="0.35">
      <c r="A321" s="1">
        <f>DATE(2021, 3, 19)</f>
        <v>44274</v>
      </c>
      <c r="B321" s="2">
        <v>42.79</v>
      </c>
      <c r="C321" s="2">
        <v>43.48</v>
      </c>
    </row>
    <row r="322" spans="1:3" x14ac:dyDescent="0.35">
      <c r="A322" s="1">
        <f>DATE(2021, 3, 22)</f>
        <v>44277</v>
      </c>
      <c r="B322" s="2">
        <v>43.67</v>
      </c>
      <c r="C322" s="2">
        <v>44.35</v>
      </c>
    </row>
    <row r="323" spans="1:3" x14ac:dyDescent="0.35">
      <c r="A323" s="1">
        <f>DATE(2021, 3, 23)</f>
        <v>44278</v>
      </c>
      <c r="B323" s="2">
        <v>42.28</v>
      </c>
      <c r="C323" s="2">
        <v>42.95</v>
      </c>
    </row>
    <row r="324" spans="1:3" x14ac:dyDescent="0.35">
      <c r="A324" s="1">
        <f>DATE(2021, 3, 24)</f>
        <v>44279</v>
      </c>
      <c r="B324" s="2">
        <v>42.47</v>
      </c>
      <c r="C324" s="2">
        <v>43.14</v>
      </c>
    </row>
    <row r="325" spans="1:3" x14ac:dyDescent="0.35">
      <c r="A325" s="1">
        <f>DATE(2021, 3, 25)</f>
        <v>44280</v>
      </c>
      <c r="B325" s="2">
        <v>41.22</v>
      </c>
      <c r="C325" s="2">
        <v>41.89</v>
      </c>
    </row>
    <row r="326" spans="1:3" x14ac:dyDescent="0.35">
      <c r="A326" s="1">
        <f>DATE(2021, 3, 26)</f>
        <v>44281</v>
      </c>
      <c r="B326" s="2">
        <v>42.59</v>
      </c>
      <c r="C326" s="2">
        <v>43.28</v>
      </c>
    </row>
    <row r="327" spans="1:3" x14ac:dyDescent="0.35">
      <c r="A327" s="1">
        <f>DATE(2021, 3, 29)</f>
        <v>44284</v>
      </c>
      <c r="B327" s="2">
        <v>42.71</v>
      </c>
      <c r="C327" s="2">
        <v>43.4</v>
      </c>
    </row>
    <row r="328" spans="1:3" x14ac:dyDescent="0.35">
      <c r="A328" s="1">
        <f>DATE(2021, 3, 30)</f>
        <v>44285</v>
      </c>
      <c r="B328" s="2">
        <v>42.91</v>
      </c>
      <c r="C328" s="2">
        <v>43.6</v>
      </c>
    </row>
    <row r="329" spans="1:3" x14ac:dyDescent="0.35">
      <c r="A329" s="1">
        <f>DATE(2021, 3, 31)</f>
        <v>44286</v>
      </c>
      <c r="B329" s="2">
        <v>43.4</v>
      </c>
      <c r="C329" s="2">
        <v>44.09</v>
      </c>
    </row>
    <row r="330" spans="1:3" x14ac:dyDescent="0.35">
      <c r="A330" s="1">
        <f>DATE(2021, 4, 1)</f>
        <v>44287</v>
      </c>
      <c r="B330" s="2">
        <v>43.32</v>
      </c>
      <c r="C330" s="2">
        <v>44.01</v>
      </c>
    </row>
    <row r="331" spans="1:3" x14ac:dyDescent="0.35">
      <c r="A331" s="1">
        <f>DATE(2021, 4, 2)</f>
        <v>44288</v>
      </c>
      <c r="B331" s="2"/>
      <c r="C331" s="2"/>
    </row>
    <row r="332" spans="1:3" x14ac:dyDescent="0.35">
      <c r="A332" s="1">
        <f>DATE(2021, 4, 5)</f>
        <v>44291</v>
      </c>
      <c r="B332" s="2"/>
      <c r="C332" s="2"/>
    </row>
    <row r="333" spans="1:3" x14ac:dyDescent="0.35">
      <c r="A333" s="1">
        <f>DATE(2021, 4, 6)</f>
        <v>44292</v>
      </c>
      <c r="B333" s="2">
        <v>45.1</v>
      </c>
      <c r="C333" s="2">
        <v>45.78</v>
      </c>
    </row>
    <row r="334" spans="1:3" x14ac:dyDescent="0.35">
      <c r="A334" s="1">
        <f>DATE(2021, 4, 7)</f>
        <v>44293</v>
      </c>
      <c r="B334" s="2">
        <v>44.75</v>
      </c>
      <c r="C334" s="2">
        <v>45.43</v>
      </c>
    </row>
    <row r="335" spans="1:3" x14ac:dyDescent="0.35">
      <c r="A335" s="1">
        <f>DATE(2021, 4, 8)</f>
        <v>44294</v>
      </c>
      <c r="B335" s="2">
        <v>44.36</v>
      </c>
      <c r="C335" s="2">
        <v>45.06</v>
      </c>
    </row>
    <row r="336" spans="1:3" x14ac:dyDescent="0.35">
      <c r="A336" s="1">
        <f>DATE(2021, 4, 9)</f>
        <v>44295</v>
      </c>
      <c r="B336" s="2">
        <v>44.55</v>
      </c>
      <c r="C336" s="2">
        <v>45.26</v>
      </c>
    </row>
    <row r="337" spans="1:3" x14ac:dyDescent="0.35">
      <c r="A337" s="1">
        <f>DATE(2021, 4, 12)</f>
        <v>44298</v>
      </c>
      <c r="B337" s="2">
        <v>45.34</v>
      </c>
      <c r="C337" s="2">
        <v>46.05</v>
      </c>
    </row>
    <row r="338" spans="1:3" x14ac:dyDescent="0.35">
      <c r="A338" s="1">
        <f>DATE(2021, 4, 13)</f>
        <v>44299</v>
      </c>
      <c r="B338" s="2">
        <v>44.72</v>
      </c>
      <c r="C338" s="2">
        <v>45.43</v>
      </c>
    </row>
    <row r="339" spans="1:3" x14ac:dyDescent="0.35">
      <c r="A339" s="1">
        <f>DATE(2021, 4, 14)</f>
        <v>44300</v>
      </c>
      <c r="B339" s="2">
        <v>44.77</v>
      </c>
      <c r="C339" s="2">
        <v>45.48</v>
      </c>
    </row>
    <row r="340" spans="1:3" x14ac:dyDescent="0.35">
      <c r="A340" s="1">
        <f>DATE(2021, 4, 15)</f>
        <v>44301</v>
      </c>
      <c r="B340" s="2">
        <v>45.28</v>
      </c>
      <c r="C340" s="2">
        <v>46.01</v>
      </c>
    </row>
    <row r="341" spans="1:3" x14ac:dyDescent="0.35">
      <c r="A341" s="1">
        <f>DATE(2021, 4, 16)</f>
        <v>44302</v>
      </c>
      <c r="B341" s="2">
        <v>45.39</v>
      </c>
      <c r="C341" s="2">
        <v>46.11</v>
      </c>
    </row>
    <row r="342" spans="1:3" x14ac:dyDescent="0.35">
      <c r="A342" s="1">
        <f>DATE(2021, 4, 19)</f>
        <v>44305</v>
      </c>
      <c r="B342" s="2">
        <v>44.88</v>
      </c>
      <c r="C342" s="2">
        <v>45.6</v>
      </c>
    </row>
    <row r="343" spans="1:3" x14ac:dyDescent="0.35">
      <c r="A343" s="1">
        <f>DATE(2021, 4, 20)</f>
        <v>44306</v>
      </c>
      <c r="B343" s="2">
        <v>46.06</v>
      </c>
      <c r="C343" s="2">
        <v>46.8</v>
      </c>
    </row>
    <row r="344" spans="1:3" x14ac:dyDescent="0.35">
      <c r="A344" s="1">
        <f>DATE(2021, 4, 21)</f>
        <v>44307</v>
      </c>
      <c r="B344" s="2">
        <v>46.89</v>
      </c>
      <c r="C344" s="2">
        <v>47.66</v>
      </c>
    </row>
    <row r="345" spans="1:3" x14ac:dyDescent="0.35">
      <c r="A345" s="1">
        <f>DATE(2021, 4, 22)</f>
        <v>44308</v>
      </c>
      <c r="B345" s="2">
        <v>48.12</v>
      </c>
      <c r="C345" s="2">
        <v>48.88</v>
      </c>
    </row>
    <row r="346" spans="1:3" x14ac:dyDescent="0.35">
      <c r="A346" s="1">
        <f>DATE(2021, 4, 23)</f>
        <v>44309</v>
      </c>
      <c r="B346" s="2">
        <v>48.03</v>
      </c>
      <c r="C346" s="2">
        <v>48.83</v>
      </c>
    </row>
    <row r="347" spans="1:3" x14ac:dyDescent="0.35">
      <c r="A347" s="1">
        <f>DATE(2021, 4, 26)</f>
        <v>44312</v>
      </c>
      <c r="B347" s="2">
        <v>48.36</v>
      </c>
      <c r="C347" s="2">
        <v>49.21</v>
      </c>
    </row>
    <row r="348" spans="1:3" x14ac:dyDescent="0.35">
      <c r="A348" s="1">
        <f>DATE(2021, 4, 27)</f>
        <v>44313</v>
      </c>
      <c r="B348" s="2">
        <v>48.48</v>
      </c>
      <c r="C348" s="2">
        <v>49.33</v>
      </c>
    </row>
    <row r="349" spans="1:3" x14ac:dyDescent="0.35">
      <c r="A349" s="1">
        <f>DATE(2021, 4, 28)</f>
        <v>44314</v>
      </c>
      <c r="B349" s="2">
        <v>49.04</v>
      </c>
      <c r="C349" s="2">
        <v>49.9</v>
      </c>
    </row>
    <row r="350" spans="1:3" x14ac:dyDescent="0.35">
      <c r="A350" s="1">
        <f>DATE(2021, 4, 29)</f>
        <v>44315</v>
      </c>
      <c r="B350" s="2">
        <v>49.27</v>
      </c>
      <c r="C350" s="2">
        <v>50.18</v>
      </c>
    </row>
    <row r="351" spans="1:3" x14ac:dyDescent="0.35">
      <c r="A351" s="1">
        <f>DATE(2021, 4, 30)</f>
        <v>44316</v>
      </c>
      <c r="B351" s="2">
        <v>50.1</v>
      </c>
      <c r="C351" s="2">
        <v>51.01</v>
      </c>
    </row>
    <row r="352" spans="1:3" x14ac:dyDescent="0.35">
      <c r="A352" s="1">
        <f>DATE(2021, 5, 3)</f>
        <v>44319</v>
      </c>
      <c r="B352" s="2">
        <v>50.7</v>
      </c>
      <c r="C352" s="2">
        <v>51.61</v>
      </c>
    </row>
    <row r="353" spans="1:3" x14ac:dyDescent="0.35">
      <c r="A353" s="1">
        <f>DATE(2021, 5, 4)</f>
        <v>44320</v>
      </c>
      <c r="B353" s="2">
        <v>49.87</v>
      </c>
      <c r="C353" s="2">
        <v>50.79</v>
      </c>
    </row>
    <row r="354" spans="1:3" x14ac:dyDescent="0.35">
      <c r="A354" s="1">
        <f>DATE(2021, 5, 5)</f>
        <v>44321</v>
      </c>
      <c r="B354" s="2">
        <v>50.72</v>
      </c>
      <c r="C354" s="2">
        <v>51.64</v>
      </c>
    </row>
    <row r="355" spans="1:3" x14ac:dyDescent="0.35">
      <c r="A355" s="1">
        <f>DATE(2021, 5, 6)</f>
        <v>44322</v>
      </c>
      <c r="B355" s="2">
        <v>51.23</v>
      </c>
      <c r="C355" s="2">
        <v>52.15</v>
      </c>
    </row>
    <row r="356" spans="1:3" x14ac:dyDescent="0.35">
      <c r="A356" s="1">
        <f>DATE(2021, 5, 7)</f>
        <v>44323</v>
      </c>
      <c r="B356" s="2">
        <v>51.76</v>
      </c>
      <c r="C356" s="2">
        <v>52.68</v>
      </c>
    </row>
    <row r="357" spans="1:3" x14ac:dyDescent="0.35">
      <c r="A357" s="1">
        <f>DATE(2021, 5, 10)</f>
        <v>44326</v>
      </c>
      <c r="B357" s="2">
        <v>53.56</v>
      </c>
      <c r="C357" s="2">
        <v>54.48</v>
      </c>
    </row>
    <row r="358" spans="1:3" x14ac:dyDescent="0.35">
      <c r="A358" s="1">
        <f>DATE(2021, 5, 11)</f>
        <v>44327</v>
      </c>
      <c r="B358" s="2">
        <v>54.39</v>
      </c>
      <c r="C358" s="2">
        <v>55.34</v>
      </c>
    </row>
    <row r="359" spans="1:3" x14ac:dyDescent="0.35">
      <c r="A359" s="1">
        <f>DATE(2021, 5, 12)</f>
        <v>44328</v>
      </c>
      <c r="B359" s="2">
        <v>56.72</v>
      </c>
      <c r="C359" s="2">
        <v>57.67</v>
      </c>
    </row>
    <row r="360" spans="1:3" x14ac:dyDescent="0.35">
      <c r="A360" s="1">
        <f>DATE(2021, 5, 13)</f>
        <v>44329</v>
      </c>
      <c r="B360" s="2">
        <v>55.9</v>
      </c>
      <c r="C360" s="2">
        <v>56.87</v>
      </c>
    </row>
    <row r="361" spans="1:3" x14ac:dyDescent="0.35">
      <c r="A361" s="1">
        <f>DATE(2021, 5, 14)</f>
        <v>44330</v>
      </c>
      <c r="B361" s="2">
        <v>58.11</v>
      </c>
      <c r="C361" s="2">
        <v>59.1</v>
      </c>
    </row>
    <row r="362" spans="1:3" x14ac:dyDescent="0.35">
      <c r="A362" s="1">
        <f>DATE(2021, 5, 17)</f>
        <v>44333</v>
      </c>
      <c r="B362" s="2">
        <v>57.88</v>
      </c>
      <c r="C362" s="2">
        <v>58.87</v>
      </c>
    </row>
    <row r="363" spans="1:3" x14ac:dyDescent="0.35">
      <c r="A363" s="1">
        <f>DATE(2021, 5, 18)</f>
        <v>44334</v>
      </c>
      <c r="B363" s="2">
        <v>54.67</v>
      </c>
      <c r="C363" s="2">
        <v>55.66</v>
      </c>
    </row>
    <row r="364" spans="1:3" x14ac:dyDescent="0.35">
      <c r="A364" s="1">
        <f>DATE(2021, 5, 19)</f>
        <v>44335</v>
      </c>
      <c r="B364" s="2">
        <v>51.29</v>
      </c>
      <c r="C364" s="2">
        <v>52.28</v>
      </c>
    </row>
    <row r="365" spans="1:3" x14ac:dyDescent="0.35">
      <c r="A365" s="1">
        <f>DATE(2021, 5, 20)</f>
        <v>44336</v>
      </c>
      <c r="B365" s="2">
        <v>54.36</v>
      </c>
      <c r="C365" s="2">
        <v>55.34</v>
      </c>
    </row>
    <row r="366" spans="1:3" x14ac:dyDescent="0.35">
      <c r="A366" s="1">
        <f>DATE(2021, 5, 21)</f>
        <v>44337</v>
      </c>
      <c r="B366" s="2">
        <v>53.37</v>
      </c>
      <c r="C366" s="2">
        <v>54.37</v>
      </c>
    </row>
    <row r="367" spans="1:3" x14ac:dyDescent="0.35">
      <c r="A367" s="1">
        <f>DATE(2021, 5, 24)</f>
        <v>44340</v>
      </c>
      <c r="B367" s="2">
        <v>54.36</v>
      </c>
      <c r="C367" s="2">
        <v>55.35</v>
      </c>
    </row>
    <row r="368" spans="1:3" x14ac:dyDescent="0.35">
      <c r="A368" s="1">
        <f>DATE(2021, 5, 25)</f>
        <v>44341</v>
      </c>
      <c r="B368" s="2">
        <v>54.7</v>
      </c>
      <c r="C368" s="2">
        <v>55.64</v>
      </c>
    </row>
    <row r="369" spans="1:3" x14ac:dyDescent="0.35">
      <c r="A369" s="1">
        <f>DATE(2021, 5, 26)</f>
        <v>44342</v>
      </c>
      <c r="B369" s="2">
        <v>55.09</v>
      </c>
      <c r="C369" s="2">
        <v>56.01</v>
      </c>
    </row>
    <row r="370" spans="1:3" x14ac:dyDescent="0.35">
      <c r="A370" s="1">
        <f>DATE(2021, 5, 27)</f>
        <v>44343</v>
      </c>
      <c r="B370" s="2">
        <v>53.27</v>
      </c>
      <c r="C370" s="2">
        <v>54.19</v>
      </c>
    </row>
    <row r="371" spans="1:3" x14ac:dyDescent="0.35">
      <c r="A371" s="1">
        <f>DATE(2021, 5, 28)</f>
        <v>44344</v>
      </c>
      <c r="B371" s="2">
        <v>52.44</v>
      </c>
      <c r="C371" s="2">
        <v>53.33</v>
      </c>
    </row>
    <row r="372" spans="1:3" x14ac:dyDescent="0.35">
      <c r="A372" s="1">
        <f>DATE(2021, 5, 31)</f>
        <v>44347</v>
      </c>
      <c r="B372" s="2">
        <v>53.11</v>
      </c>
      <c r="C372" s="2">
        <v>54</v>
      </c>
    </row>
    <row r="373" spans="1:3" x14ac:dyDescent="0.35">
      <c r="A373" s="1">
        <f>DATE(2021, 6, 1)</f>
        <v>44348</v>
      </c>
      <c r="B373" s="2">
        <v>53.81</v>
      </c>
      <c r="C373" s="2">
        <v>54.7</v>
      </c>
    </row>
    <row r="374" spans="1:3" x14ac:dyDescent="0.35">
      <c r="A374" s="1">
        <f>DATE(2021, 6, 2)</f>
        <v>44349</v>
      </c>
      <c r="B374" s="2">
        <v>52.74</v>
      </c>
      <c r="C374" s="2">
        <v>53.66</v>
      </c>
    </row>
    <row r="375" spans="1:3" x14ac:dyDescent="0.35">
      <c r="A375" s="1">
        <f>DATE(2021, 6, 3)</f>
        <v>44350</v>
      </c>
      <c r="B375" s="2">
        <v>51.51</v>
      </c>
      <c r="C375" s="2">
        <v>52.42</v>
      </c>
    </row>
    <row r="376" spans="1:3" x14ac:dyDescent="0.35">
      <c r="A376" s="1">
        <f>DATE(2021, 6, 4)</f>
        <v>44351</v>
      </c>
      <c r="B376" s="2">
        <v>51.23</v>
      </c>
      <c r="C376" s="2">
        <v>52.14</v>
      </c>
    </row>
    <row r="377" spans="1:3" x14ac:dyDescent="0.35">
      <c r="A377" s="1">
        <f>DATE(2021, 6, 7)</f>
        <v>44354</v>
      </c>
      <c r="B377" s="2">
        <v>52.72</v>
      </c>
      <c r="C377" s="2">
        <v>53.63</v>
      </c>
    </row>
    <row r="378" spans="1:3" x14ac:dyDescent="0.35">
      <c r="A378" s="1">
        <f>DATE(2021, 6, 8)</f>
        <v>44355</v>
      </c>
      <c r="B378" s="2">
        <v>53.32</v>
      </c>
      <c r="C378" s="2">
        <v>54.3</v>
      </c>
    </row>
    <row r="379" spans="1:3" x14ac:dyDescent="0.35">
      <c r="A379" s="1">
        <f>DATE(2021, 6, 9)</f>
        <v>44356</v>
      </c>
      <c r="B379" s="2">
        <v>54.58</v>
      </c>
      <c r="C379" s="2">
        <v>55.56</v>
      </c>
    </row>
    <row r="380" spans="1:3" x14ac:dyDescent="0.35">
      <c r="A380" s="1">
        <f>DATE(2021, 6, 10)</f>
        <v>44357</v>
      </c>
      <c r="B380" s="2">
        <v>54.86</v>
      </c>
      <c r="C380" s="2">
        <v>55.79</v>
      </c>
    </row>
    <row r="381" spans="1:3" x14ac:dyDescent="0.35">
      <c r="A381" s="1">
        <f>DATE(2021, 6, 11)</f>
        <v>44358</v>
      </c>
      <c r="B381" s="2">
        <v>53.78</v>
      </c>
      <c r="C381" s="2">
        <v>54.73</v>
      </c>
    </row>
    <row r="382" spans="1:3" x14ac:dyDescent="0.35">
      <c r="A382" s="1">
        <f>DATE(2021, 6, 14)</f>
        <v>44361</v>
      </c>
      <c r="B382" s="2">
        <v>53.97</v>
      </c>
      <c r="C382" s="2">
        <v>54.95</v>
      </c>
    </row>
    <row r="383" spans="1:3" x14ac:dyDescent="0.35">
      <c r="A383" s="1">
        <f>DATE(2021, 6, 15)</f>
        <v>44362</v>
      </c>
      <c r="B383" s="2">
        <v>52.46</v>
      </c>
      <c r="C383" s="2">
        <v>53.43</v>
      </c>
    </row>
    <row r="384" spans="1:3" x14ac:dyDescent="0.35">
      <c r="A384" s="1">
        <f>DATE(2021, 6, 16)</f>
        <v>44363</v>
      </c>
      <c r="B384" s="2">
        <v>52.39</v>
      </c>
      <c r="C384" s="2">
        <v>53.36</v>
      </c>
    </row>
    <row r="385" spans="1:3" x14ac:dyDescent="0.35">
      <c r="A385" s="1">
        <f>DATE(2021, 6, 17)</f>
        <v>44364</v>
      </c>
      <c r="B385" s="2">
        <v>51.95</v>
      </c>
      <c r="C385" s="2">
        <v>52.92</v>
      </c>
    </row>
    <row r="386" spans="1:3" x14ac:dyDescent="0.35">
      <c r="A386" s="1">
        <f>DATE(2021, 6, 18)</f>
        <v>44365</v>
      </c>
      <c r="B386" s="2">
        <v>52.94</v>
      </c>
      <c r="C386" s="2">
        <v>53.91</v>
      </c>
    </row>
    <row r="387" spans="1:3" x14ac:dyDescent="0.35">
      <c r="A387" s="1">
        <f>DATE(2021, 6, 21)</f>
        <v>44368</v>
      </c>
      <c r="B387" s="2">
        <v>53.46</v>
      </c>
      <c r="C387" s="2">
        <v>54.41</v>
      </c>
    </row>
    <row r="388" spans="1:3" x14ac:dyDescent="0.35">
      <c r="A388" s="1">
        <f>DATE(2021, 6, 22)</f>
        <v>44369</v>
      </c>
      <c r="B388" s="2">
        <v>54.45</v>
      </c>
      <c r="C388" s="2">
        <v>55.38</v>
      </c>
    </row>
    <row r="389" spans="1:3" x14ac:dyDescent="0.35">
      <c r="A389" s="1">
        <f>DATE(2021, 6, 23)</f>
        <v>44370</v>
      </c>
      <c r="B389" s="2">
        <v>55.7</v>
      </c>
      <c r="C389" s="2">
        <v>56.62</v>
      </c>
    </row>
    <row r="390" spans="1:3" x14ac:dyDescent="0.35">
      <c r="A390" s="1">
        <f>DATE(2021, 6, 24)</f>
        <v>44371</v>
      </c>
      <c r="B390" s="2">
        <v>56.18</v>
      </c>
      <c r="C390" s="2">
        <v>57.07</v>
      </c>
    </row>
    <row r="391" spans="1:3" x14ac:dyDescent="0.35">
      <c r="A391" s="1">
        <f>DATE(2021, 6, 25)</f>
        <v>44372</v>
      </c>
      <c r="B391" s="2">
        <v>56.15</v>
      </c>
      <c r="C391" s="2">
        <v>57.01</v>
      </c>
    </row>
    <row r="392" spans="1:3" x14ac:dyDescent="0.35">
      <c r="A392" s="1">
        <f>DATE(2021, 6, 28)</f>
        <v>44375</v>
      </c>
      <c r="B392" s="2">
        <v>56.59</v>
      </c>
      <c r="C392" s="2">
        <v>57.45</v>
      </c>
    </row>
    <row r="393" spans="1:3" x14ac:dyDescent="0.35">
      <c r="A393" s="1">
        <f>DATE(2021, 6, 29)</f>
        <v>44376</v>
      </c>
      <c r="B393" s="2">
        <v>56.72</v>
      </c>
      <c r="C393" s="2">
        <v>57.59</v>
      </c>
    </row>
    <row r="394" spans="1:3" x14ac:dyDescent="0.35">
      <c r="A394" s="1">
        <f>DATE(2021, 6, 30)</f>
        <v>44377</v>
      </c>
      <c r="B394" s="2">
        <v>57.49</v>
      </c>
      <c r="C394" s="2">
        <v>58.36</v>
      </c>
    </row>
    <row r="395" spans="1:3" x14ac:dyDescent="0.35">
      <c r="A395" s="1">
        <f>DATE(2021, 7, 1)</f>
        <v>44378</v>
      </c>
      <c r="B395" s="2">
        <v>58.77</v>
      </c>
      <c r="C395" s="2">
        <v>59.64</v>
      </c>
    </row>
    <row r="396" spans="1:3" x14ac:dyDescent="0.35">
      <c r="A396" s="1">
        <f>DATE(2021, 7, 2)</f>
        <v>44379</v>
      </c>
      <c r="B396" s="2">
        <v>58.45</v>
      </c>
      <c r="C396" s="2">
        <v>59.33</v>
      </c>
    </row>
    <row r="397" spans="1:3" x14ac:dyDescent="0.35">
      <c r="A397" s="1">
        <f>DATE(2021, 7, 5)</f>
        <v>44382</v>
      </c>
      <c r="B397" s="2">
        <v>58.98</v>
      </c>
      <c r="C397" s="2">
        <v>59.85</v>
      </c>
    </row>
    <row r="398" spans="1:3" x14ac:dyDescent="0.35">
      <c r="A398" s="1">
        <f>DATE(2021, 7, 6)</f>
        <v>44383</v>
      </c>
      <c r="B398" s="2">
        <v>55.15</v>
      </c>
      <c r="C398" s="2">
        <v>56.03</v>
      </c>
    </row>
    <row r="399" spans="1:3" x14ac:dyDescent="0.35">
      <c r="A399" s="1">
        <f>DATE(2021, 7, 7)</f>
        <v>44384</v>
      </c>
      <c r="B399" s="2">
        <v>53.74</v>
      </c>
      <c r="C399" s="2">
        <v>54.63</v>
      </c>
    </row>
    <row r="400" spans="1:3" x14ac:dyDescent="0.35">
      <c r="A400" s="1">
        <f>DATE(2021, 7, 8)</f>
        <v>44385</v>
      </c>
      <c r="B400" s="2">
        <v>53.5</v>
      </c>
      <c r="C400" s="2">
        <v>54.37</v>
      </c>
    </row>
    <row r="401" spans="1:3" x14ac:dyDescent="0.35">
      <c r="A401" s="1">
        <f>DATE(2021, 7, 9)</f>
        <v>44386</v>
      </c>
      <c r="B401" s="2">
        <v>55.4</v>
      </c>
      <c r="C401" s="2">
        <v>56.27</v>
      </c>
    </row>
    <row r="402" spans="1:3" x14ac:dyDescent="0.35">
      <c r="A402" s="1">
        <f>DATE(2021, 7, 12)</f>
        <v>44389</v>
      </c>
      <c r="B402" s="2">
        <v>52.85</v>
      </c>
      <c r="C402" s="2">
        <v>53.69</v>
      </c>
    </row>
    <row r="403" spans="1:3" x14ac:dyDescent="0.35">
      <c r="A403" s="1">
        <f>DATE(2021, 7, 13)</f>
        <v>44390</v>
      </c>
      <c r="B403" s="2">
        <v>54</v>
      </c>
      <c r="C403" s="2">
        <v>54.81</v>
      </c>
    </row>
    <row r="404" spans="1:3" x14ac:dyDescent="0.35">
      <c r="A404" s="1">
        <f>DATE(2021, 7, 14)</f>
        <v>44391</v>
      </c>
      <c r="B404" s="2">
        <v>54.5</v>
      </c>
      <c r="C404" s="2">
        <v>55.33</v>
      </c>
    </row>
    <row r="405" spans="1:3" x14ac:dyDescent="0.35">
      <c r="A405" s="1">
        <f>DATE(2021, 7, 15)</f>
        <v>44392</v>
      </c>
      <c r="B405" s="2">
        <v>54</v>
      </c>
      <c r="C405" s="2">
        <v>54.79</v>
      </c>
    </row>
    <row r="406" spans="1:3" x14ac:dyDescent="0.35">
      <c r="A406" s="1">
        <f>DATE(2021, 7, 16)</f>
        <v>44393</v>
      </c>
      <c r="B406" s="2">
        <v>53.85</v>
      </c>
      <c r="C406" s="2">
        <v>54.59</v>
      </c>
    </row>
    <row r="407" spans="1:3" x14ac:dyDescent="0.35">
      <c r="A407" s="1">
        <f>DATE(2021, 7, 19)</f>
        <v>44396</v>
      </c>
      <c r="B407" s="2">
        <v>53.4</v>
      </c>
      <c r="C407" s="2">
        <v>54.12</v>
      </c>
    </row>
    <row r="408" spans="1:3" x14ac:dyDescent="0.35">
      <c r="A408" s="1">
        <f>DATE(2021, 7, 20)</f>
        <v>44397</v>
      </c>
      <c r="B408" s="2">
        <v>52.2</v>
      </c>
      <c r="C408" s="2">
        <v>52.93</v>
      </c>
    </row>
    <row r="409" spans="1:3" x14ac:dyDescent="0.35">
      <c r="A409" s="1">
        <f>DATE(2021, 7, 21)</f>
        <v>44398</v>
      </c>
      <c r="B409" s="2">
        <v>53.14</v>
      </c>
      <c r="C409" s="2">
        <v>53.88</v>
      </c>
    </row>
    <row r="410" spans="1:3" x14ac:dyDescent="0.35">
      <c r="A410" s="1">
        <f>DATE(2021, 7, 22)</f>
        <v>44399</v>
      </c>
      <c r="B410" s="2">
        <v>51.79</v>
      </c>
      <c r="C410" s="2">
        <v>52.53</v>
      </c>
    </row>
    <row r="411" spans="1:3" x14ac:dyDescent="0.35">
      <c r="A411" s="1">
        <f>DATE(2021, 7, 23)</f>
        <v>44400</v>
      </c>
      <c r="B411" s="2">
        <v>51.9</v>
      </c>
      <c r="C411" s="2">
        <v>52.65</v>
      </c>
    </row>
    <row r="412" spans="1:3" x14ac:dyDescent="0.35">
      <c r="A412" s="1">
        <f>DATE(2021, 7, 26)</f>
        <v>44403</v>
      </c>
      <c r="B412" s="2">
        <v>54.19</v>
      </c>
      <c r="C412" s="2">
        <v>54.98</v>
      </c>
    </row>
    <row r="413" spans="1:3" x14ac:dyDescent="0.35">
      <c r="A413" s="1">
        <f>DATE(2021, 7, 27)</f>
        <v>44404</v>
      </c>
      <c r="B413" s="2">
        <v>53.92</v>
      </c>
      <c r="C413" s="2">
        <v>54.68</v>
      </c>
    </row>
    <row r="414" spans="1:3" x14ac:dyDescent="0.35">
      <c r="A414" s="1">
        <f>DATE(2021, 7, 28)</f>
        <v>44405</v>
      </c>
      <c r="B414" s="2">
        <v>54.85</v>
      </c>
      <c r="C414" s="2">
        <v>55.59</v>
      </c>
    </row>
    <row r="415" spans="1:3" x14ac:dyDescent="0.35">
      <c r="A415" s="1">
        <f>DATE(2021, 7, 29)</f>
        <v>44406</v>
      </c>
      <c r="B415" s="2">
        <v>55.07</v>
      </c>
      <c r="C415" s="2">
        <v>55.83</v>
      </c>
    </row>
    <row r="416" spans="1:3" x14ac:dyDescent="0.35">
      <c r="A416" s="1">
        <f>DATE(2021, 7, 30)</f>
        <v>44407</v>
      </c>
      <c r="B416" s="2">
        <v>54.35</v>
      </c>
      <c r="C416" s="2">
        <v>55.13</v>
      </c>
    </row>
    <row r="417" spans="1:3" x14ac:dyDescent="0.35">
      <c r="A417" s="1">
        <f>DATE(2021, 8, 2)</f>
        <v>44410</v>
      </c>
      <c r="B417" s="2">
        <v>55.46</v>
      </c>
      <c r="C417" s="2">
        <v>56.24</v>
      </c>
    </row>
    <row r="418" spans="1:3" x14ac:dyDescent="0.35">
      <c r="A418" s="1">
        <f>DATE(2021, 8, 3)</f>
        <v>44411</v>
      </c>
      <c r="B418" s="2">
        <v>55.22</v>
      </c>
      <c r="C418" s="2">
        <v>56.01</v>
      </c>
    </row>
    <row r="419" spans="1:3" x14ac:dyDescent="0.35">
      <c r="A419" s="1">
        <f>DATE(2021, 8, 4)</f>
        <v>44412</v>
      </c>
      <c r="B419" s="2">
        <v>56.48</v>
      </c>
      <c r="C419" s="2">
        <v>57.28</v>
      </c>
    </row>
    <row r="420" spans="1:3" x14ac:dyDescent="0.35">
      <c r="A420" s="1">
        <f>DATE(2021, 8, 5)</f>
        <v>44413</v>
      </c>
      <c r="B420" s="2">
        <v>56.99</v>
      </c>
      <c r="C420" s="2">
        <v>57.8</v>
      </c>
    </row>
    <row r="421" spans="1:3" x14ac:dyDescent="0.35">
      <c r="A421" s="1">
        <f>DATE(2021, 8, 6)</f>
        <v>44414</v>
      </c>
      <c r="B421" s="2">
        <v>57.68</v>
      </c>
      <c r="C421" s="2">
        <v>58.49</v>
      </c>
    </row>
    <row r="422" spans="1:3" x14ac:dyDescent="0.35">
      <c r="A422" s="1">
        <f>DATE(2021, 8, 9)</f>
        <v>44417</v>
      </c>
      <c r="B422" s="2">
        <v>57.65</v>
      </c>
      <c r="C422" s="2">
        <v>58.44</v>
      </c>
    </row>
    <row r="423" spans="1:3" x14ac:dyDescent="0.35">
      <c r="A423" s="1">
        <f>DATE(2021, 8, 10)</f>
        <v>44418</v>
      </c>
      <c r="B423" s="2">
        <v>58.43</v>
      </c>
      <c r="C423" s="2">
        <v>59.22</v>
      </c>
    </row>
    <row r="424" spans="1:3" x14ac:dyDescent="0.35">
      <c r="A424" s="1">
        <f>DATE(2021, 8, 11)</f>
        <v>44419</v>
      </c>
      <c r="B424" s="2">
        <v>58.81</v>
      </c>
      <c r="C424" s="2">
        <v>59.59</v>
      </c>
    </row>
    <row r="425" spans="1:3" x14ac:dyDescent="0.35">
      <c r="A425" s="1">
        <f>DATE(2021, 8, 12)</f>
        <v>44420</v>
      </c>
      <c r="B425" s="2">
        <v>57.28</v>
      </c>
      <c r="C425" s="2">
        <v>58.05</v>
      </c>
    </row>
    <row r="426" spans="1:3" x14ac:dyDescent="0.35">
      <c r="A426" s="1">
        <f>DATE(2021, 8, 13)</f>
        <v>44421</v>
      </c>
      <c r="B426" s="2">
        <v>56.42</v>
      </c>
      <c r="C426" s="2">
        <v>57.19</v>
      </c>
    </row>
    <row r="427" spans="1:3" x14ac:dyDescent="0.35">
      <c r="A427" s="1">
        <f>DATE(2021, 8, 16)</f>
        <v>44424</v>
      </c>
      <c r="B427" s="2">
        <v>59.17</v>
      </c>
      <c r="C427" s="2">
        <v>59.96</v>
      </c>
    </row>
    <row r="428" spans="1:3" x14ac:dyDescent="0.35">
      <c r="A428" s="1">
        <f>DATE(2021, 8, 17)</f>
        <v>44425</v>
      </c>
      <c r="B428" s="2">
        <v>58.22</v>
      </c>
      <c r="C428" s="2">
        <v>59.01</v>
      </c>
    </row>
    <row r="429" spans="1:3" x14ac:dyDescent="0.35">
      <c r="A429" s="1">
        <f>DATE(2021, 8, 18)</f>
        <v>44426</v>
      </c>
      <c r="B429" s="2">
        <v>58.07</v>
      </c>
      <c r="C429" s="2">
        <v>58.86</v>
      </c>
    </row>
    <row r="430" spans="1:3" x14ac:dyDescent="0.35">
      <c r="A430" s="1">
        <f>DATE(2021, 8, 19)</f>
        <v>44427</v>
      </c>
      <c r="B430" s="2">
        <v>54.5</v>
      </c>
      <c r="C430" s="2">
        <v>55.27</v>
      </c>
    </row>
    <row r="431" spans="1:3" x14ac:dyDescent="0.35">
      <c r="A431" s="1">
        <f>DATE(2021, 8, 20)</f>
        <v>44428</v>
      </c>
      <c r="B431" s="2">
        <v>55.4</v>
      </c>
      <c r="C431" s="2">
        <v>56.17</v>
      </c>
    </row>
    <row r="432" spans="1:3" x14ac:dyDescent="0.35">
      <c r="A432" s="1">
        <f>DATE(2021, 8, 23)</f>
        <v>44431</v>
      </c>
      <c r="B432" s="2">
        <v>56.36</v>
      </c>
      <c r="C432" s="2">
        <v>57.13</v>
      </c>
    </row>
    <row r="433" spans="1:3" x14ac:dyDescent="0.35">
      <c r="A433" s="1">
        <f>DATE(2021, 8, 24)</f>
        <v>44432</v>
      </c>
      <c r="B433" s="2">
        <v>57.64</v>
      </c>
      <c r="C433" s="2">
        <v>58.43</v>
      </c>
    </row>
    <row r="434" spans="1:3" x14ac:dyDescent="0.35">
      <c r="A434" s="1">
        <f>DATE(2021, 8, 25)</f>
        <v>44433</v>
      </c>
      <c r="B434" s="2">
        <v>57.54</v>
      </c>
      <c r="C434" s="2">
        <v>58.36</v>
      </c>
    </row>
    <row r="435" spans="1:3" x14ac:dyDescent="0.35">
      <c r="A435" s="1">
        <f>DATE(2021, 8, 26)</f>
        <v>44434</v>
      </c>
      <c r="B435" s="2">
        <v>57.88</v>
      </c>
      <c r="C435" s="2">
        <v>58.69</v>
      </c>
    </row>
    <row r="436" spans="1:3" x14ac:dyDescent="0.35">
      <c r="A436" s="1">
        <f>DATE(2021, 8, 27)</f>
        <v>44435</v>
      </c>
      <c r="B436" s="2">
        <v>60</v>
      </c>
      <c r="C436" s="2">
        <v>60.8</v>
      </c>
    </row>
    <row r="437" spans="1:3" x14ac:dyDescent="0.35">
      <c r="A437" s="1">
        <f>DATE(2021, 8, 30)</f>
        <v>44438</v>
      </c>
      <c r="B437" s="2">
        <v>61.76</v>
      </c>
      <c r="C437" s="2">
        <v>62.58</v>
      </c>
    </row>
    <row r="438" spans="1:3" x14ac:dyDescent="0.35">
      <c r="A438" s="1">
        <f>DATE(2021, 8, 31)</f>
        <v>44439</v>
      </c>
      <c r="B438" s="2">
        <v>61.75</v>
      </c>
      <c r="C438" s="2">
        <v>62.57</v>
      </c>
    </row>
    <row r="439" spans="1:3" x14ac:dyDescent="0.35">
      <c r="A439" s="1">
        <f>DATE(2021, 9, 1)</f>
        <v>44440</v>
      </c>
      <c r="B439" s="2">
        <v>61.1</v>
      </c>
      <c r="C439" s="2">
        <v>61.92</v>
      </c>
    </row>
    <row r="440" spans="1:3" x14ac:dyDescent="0.35">
      <c r="A440" s="1">
        <f>DATE(2021, 9, 2)</f>
        <v>44441</v>
      </c>
      <c r="B440" s="2">
        <v>62.53</v>
      </c>
      <c r="C440" s="2">
        <v>63.36</v>
      </c>
    </row>
    <row r="441" spans="1:3" x14ac:dyDescent="0.35">
      <c r="A441" s="1">
        <f>DATE(2021, 9, 3)</f>
        <v>44442</v>
      </c>
      <c r="B441" s="2">
        <v>62.35</v>
      </c>
      <c r="C441" s="2">
        <v>63.17</v>
      </c>
    </row>
    <row r="442" spans="1:3" x14ac:dyDescent="0.35">
      <c r="A442" s="1">
        <f>DATE(2021, 9, 6)</f>
        <v>44445</v>
      </c>
      <c r="B442" s="2">
        <v>63.32</v>
      </c>
      <c r="C442" s="2">
        <v>64.16</v>
      </c>
    </row>
    <row r="443" spans="1:3" x14ac:dyDescent="0.35">
      <c r="A443" s="1">
        <f>DATE(2021, 9, 7)</f>
        <v>44446</v>
      </c>
      <c r="B443" s="2">
        <v>63</v>
      </c>
      <c r="C443" s="2">
        <v>63.85</v>
      </c>
    </row>
    <row r="444" spans="1:3" x14ac:dyDescent="0.35">
      <c r="A444" s="1">
        <f>DATE(2021, 9, 8)</f>
        <v>44447</v>
      </c>
      <c r="B444" s="2">
        <v>63.43</v>
      </c>
      <c r="C444" s="2">
        <v>64.290000000000006</v>
      </c>
    </row>
    <row r="445" spans="1:3" x14ac:dyDescent="0.35">
      <c r="A445" s="1">
        <f>DATE(2021, 9, 9)</f>
        <v>44448</v>
      </c>
      <c r="B445" s="2">
        <v>63.73</v>
      </c>
      <c r="C445" s="2">
        <v>64.59</v>
      </c>
    </row>
    <row r="446" spans="1:3" x14ac:dyDescent="0.35">
      <c r="A446" s="1">
        <f>DATE(2021, 9, 10)</f>
        <v>44449</v>
      </c>
      <c r="B446" s="2">
        <v>61.9</v>
      </c>
      <c r="C446" s="2">
        <v>62.75</v>
      </c>
    </row>
    <row r="447" spans="1:3" x14ac:dyDescent="0.35">
      <c r="A447" s="1">
        <f>DATE(2021, 9, 13)</f>
        <v>44452</v>
      </c>
      <c r="B447" s="2">
        <v>62.07</v>
      </c>
      <c r="C447" s="2">
        <v>62.92</v>
      </c>
    </row>
    <row r="448" spans="1:3" x14ac:dyDescent="0.35">
      <c r="A448" s="1">
        <f>DATE(2021, 9, 14)</f>
        <v>44453</v>
      </c>
      <c r="B448" s="2">
        <v>60.82</v>
      </c>
      <c r="C448" s="2">
        <v>61.67</v>
      </c>
    </row>
    <row r="449" spans="1:3" x14ac:dyDescent="0.35">
      <c r="A449" s="1">
        <f>DATE(2021, 9, 15)</f>
        <v>44454</v>
      </c>
      <c r="B449" s="2">
        <v>60.82</v>
      </c>
      <c r="C449" s="2">
        <v>61.67</v>
      </c>
    </row>
    <row r="450" spans="1:3" x14ac:dyDescent="0.35">
      <c r="A450" s="1">
        <f>DATE(2021, 9, 16)</f>
        <v>44455</v>
      </c>
      <c r="B450" s="2">
        <v>60.24</v>
      </c>
      <c r="C450" s="2">
        <v>61.08</v>
      </c>
    </row>
    <row r="451" spans="1:3" x14ac:dyDescent="0.35">
      <c r="A451" s="1">
        <f>DATE(2021, 9, 17)</f>
        <v>44456</v>
      </c>
      <c r="B451" s="2">
        <v>60.46</v>
      </c>
      <c r="C451" s="2">
        <v>61.31</v>
      </c>
    </row>
    <row r="452" spans="1:3" x14ac:dyDescent="0.35">
      <c r="A452" s="1">
        <f>DATE(2021, 9, 20)</f>
        <v>44459</v>
      </c>
      <c r="B452" s="2">
        <v>61.65</v>
      </c>
      <c r="C452" s="2">
        <v>62.52</v>
      </c>
    </row>
    <row r="453" spans="1:3" x14ac:dyDescent="0.35">
      <c r="A453" s="1">
        <f>DATE(2021, 9, 21)</f>
        <v>44460</v>
      </c>
      <c r="B453" s="2">
        <v>61.14</v>
      </c>
      <c r="C453" s="2">
        <v>62.01</v>
      </c>
    </row>
    <row r="454" spans="1:3" x14ac:dyDescent="0.35">
      <c r="A454" s="1">
        <f>DATE(2021, 9, 22)</f>
        <v>44461</v>
      </c>
      <c r="B454" s="2">
        <v>61.59</v>
      </c>
      <c r="C454" s="2">
        <v>62.48</v>
      </c>
    </row>
    <row r="455" spans="1:3" x14ac:dyDescent="0.35">
      <c r="A455" s="1">
        <f>DATE(2021, 9, 23)</f>
        <v>44462</v>
      </c>
      <c r="B455" s="2">
        <v>61.55</v>
      </c>
      <c r="C455" s="2">
        <v>62.44</v>
      </c>
    </row>
    <row r="456" spans="1:3" x14ac:dyDescent="0.35">
      <c r="A456" s="1">
        <f>DATE(2021, 9, 24)</f>
        <v>44463</v>
      </c>
      <c r="B456" s="2">
        <v>63.94</v>
      </c>
      <c r="C456" s="2">
        <v>64.83</v>
      </c>
    </row>
    <row r="457" spans="1:3" x14ac:dyDescent="0.35">
      <c r="A457" s="1">
        <f>DATE(2021, 9, 27)</f>
        <v>44466</v>
      </c>
      <c r="B457" s="2">
        <v>65.38</v>
      </c>
      <c r="C457" s="2">
        <v>66.27</v>
      </c>
    </row>
    <row r="458" spans="1:3" x14ac:dyDescent="0.35">
      <c r="A458" s="1">
        <f>DATE(2021, 9, 28)</f>
        <v>44467</v>
      </c>
      <c r="B458" s="2">
        <v>62.98</v>
      </c>
      <c r="C458" s="2">
        <v>63.85</v>
      </c>
    </row>
    <row r="459" spans="1:3" x14ac:dyDescent="0.35">
      <c r="A459" s="1">
        <f>DATE(2021, 9, 29)</f>
        <v>44468</v>
      </c>
      <c r="B459" s="2">
        <v>63.98</v>
      </c>
      <c r="C459" s="2">
        <v>64.86</v>
      </c>
    </row>
    <row r="460" spans="1:3" x14ac:dyDescent="0.35">
      <c r="A460" s="1">
        <f>DATE(2021, 9, 30)</f>
        <v>44469</v>
      </c>
      <c r="B460" s="2">
        <v>62.84</v>
      </c>
      <c r="C460" s="2">
        <v>63.72</v>
      </c>
    </row>
    <row r="461" spans="1:3" x14ac:dyDescent="0.35">
      <c r="A461" s="1">
        <f>DATE(2021, 10, 1)</f>
        <v>44470</v>
      </c>
      <c r="B461" s="2">
        <v>63.14</v>
      </c>
      <c r="C461" s="2">
        <v>64.02</v>
      </c>
    </row>
    <row r="462" spans="1:3" x14ac:dyDescent="0.35">
      <c r="A462" s="1">
        <f>DATE(2021, 10, 4)</f>
        <v>44473</v>
      </c>
      <c r="B462" s="2">
        <v>64.489999999999995</v>
      </c>
      <c r="C462" s="2">
        <v>65.36</v>
      </c>
    </row>
    <row r="463" spans="1:3" x14ac:dyDescent="0.35">
      <c r="A463" s="1">
        <f>DATE(2021, 10, 5)</f>
        <v>44474</v>
      </c>
      <c r="B463" s="2">
        <v>65.83</v>
      </c>
      <c r="C463" s="2">
        <v>66.680000000000007</v>
      </c>
    </row>
    <row r="464" spans="1:3" x14ac:dyDescent="0.35">
      <c r="A464" s="1">
        <f>DATE(2021, 10, 6)</f>
        <v>44475</v>
      </c>
      <c r="B464" s="2">
        <v>60.27</v>
      </c>
      <c r="C464" s="2">
        <v>61.09</v>
      </c>
    </row>
    <row r="465" spans="1:3" x14ac:dyDescent="0.35">
      <c r="A465" s="1">
        <f>DATE(2021, 10, 7)</f>
        <v>44476</v>
      </c>
      <c r="B465" s="2">
        <v>61.49</v>
      </c>
      <c r="C465" s="2">
        <v>62.31</v>
      </c>
    </row>
    <row r="466" spans="1:3" x14ac:dyDescent="0.35">
      <c r="A466" s="1">
        <f>DATE(2021, 10, 8)</f>
        <v>44477</v>
      </c>
      <c r="B466" s="2">
        <v>59.47</v>
      </c>
      <c r="C466" s="2">
        <v>60.31</v>
      </c>
    </row>
    <row r="467" spans="1:3" x14ac:dyDescent="0.35">
      <c r="A467" s="1">
        <f>DATE(2021, 10, 11)</f>
        <v>44480</v>
      </c>
      <c r="B467" s="2">
        <v>60.27</v>
      </c>
      <c r="C467" s="2">
        <v>61.11</v>
      </c>
    </row>
    <row r="468" spans="1:3" x14ac:dyDescent="0.35">
      <c r="A468" s="1">
        <f>DATE(2021, 10, 12)</f>
        <v>44481</v>
      </c>
      <c r="B468" s="2">
        <v>60.06</v>
      </c>
      <c r="C468" s="2">
        <v>60.88</v>
      </c>
    </row>
    <row r="469" spans="1:3" x14ac:dyDescent="0.35">
      <c r="A469" s="1">
        <f>DATE(2021, 10, 13)</f>
        <v>44482</v>
      </c>
      <c r="B469" s="2">
        <v>60.17</v>
      </c>
      <c r="C469" s="2">
        <v>60.99</v>
      </c>
    </row>
    <row r="470" spans="1:3" x14ac:dyDescent="0.35">
      <c r="A470" s="1">
        <f>DATE(2021, 10, 14)</f>
        <v>44483</v>
      </c>
      <c r="B470" s="2">
        <v>62.51</v>
      </c>
      <c r="C470" s="2">
        <v>63.34</v>
      </c>
    </row>
    <row r="471" spans="1:3" x14ac:dyDescent="0.35">
      <c r="A471" s="1">
        <f>DATE(2021, 10, 15)</f>
        <v>44484</v>
      </c>
      <c r="B471" s="2">
        <v>60.5</v>
      </c>
      <c r="C471" s="2">
        <v>61.33</v>
      </c>
    </row>
    <row r="472" spans="1:3" x14ac:dyDescent="0.35">
      <c r="A472" s="1">
        <f>DATE(2021, 10, 18)</f>
        <v>44487</v>
      </c>
      <c r="B472" s="2">
        <v>59.63</v>
      </c>
      <c r="C472" s="2">
        <v>60.46</v>
      </c>
    </row>
    <row r="473" spans="1:3" x14ac:dyDescent="0.35">
      <c r="A473" s="1">
        <f>DATE(2021, 10, 19)</f>
        <v>44488</v>
      </c>
      <c r="B473" s="2">
        <v>55.64</v>
      </c>
      <c r="C473" s="2">
        <v>56.44</v>
      </c>
    </row>
    <row r="474" spans="1:3" x14ac:dyDescent="0.35">
      <c r="A474" s="1">
        <f>DATE(2021, 10, 20)</f>
        <v>44489</v>
      </c>
      <c r="B474" s="2">
        <v>58.85</v>
      </c>
      <c r="C474" s="2">
        <v>59.65</v>
      </c>
    </row>
    <row r="475" spans="1:3" x14ac:dyDescent="0.35">
      <c r="A475" s="1">
        <f>DATE(2021, 10, 21)</f>
        <v>44490</v>
      </c>
      <c r="B475" s="2">
        <v>59.06</v>
      </c>
      <c r="C475" s="2">
        <v>59.83</v>
      </c>
    </row>
    <row r="476" spans="1:3" x14ac:dyDescent="0.35">
      <c r="A476" s="1">
        <f>DATE(2021, 10, 22)</f>
        <v>44491</v>
      </c>
      <c r="B476" s="2">
        <v>59.34</v>
      </c>
      <c r="C476" s="2">
        <v>60.11</v>
      </c>
    </row>
    <row r="477" spans="1:3" x14ac:dyDescent="0.35">
      <c r="A477" s="1">
        <f>DATE(2021, 10, 25)</f>
        <v>44494</v>
      </c>
      <c r="B477" s="2">
        <v>60.06</v>
      </c>
      <c r="C477" s="2">
        <v>60.83</v>
      </c>
    </row>
    <row r="478" spans="1:3" x14ac:dyDescent="0.35">
      <c r="A478" s="1">
        <f>DATE(2021, 10, 26)</f>
        <v>44495</v>
      </c>
      <c r="B478" s="2">
        <v>60.88</v>
      </c>
      <c r="C478" s="2">
        <v>61.66</v>
      </c>
    </row>
    <row r="479" spans="1:3" x14ac:dyDescent="0.35">
      <c r="A479" s="1">
        <f>DATE(2021, 10, 27)</f>
        <v>44496</v>
      </c>
      <c r="B479" s="2">
        <v>60.97</v>
      </c>
      <c r="C479" s="2">
        <v>61.76</v>
      </c>
    </row>
    <row r="480" spans="1:3" x14ac:dyDescent="0.35">
      <c r="A480" s="1">
        <f>DATE(2021, 10, 28)</f>
        <v>44497</v>
      </c>
      <c r="B480" s="2">
        <v>59.65</v>
      </c>
      <c r="C480" s="2">
        <v>60.42</v>
      </c>
    </row>
    <row r="481" spans="1:3" x14ac:dyDescent="0.35">
      <c r="A481" s="1">
        <f>DATE(2021, 10, 29)</f>
        <v>44498</v>
      </c>
      <c r="B481" s="2">
        <v>59.8</v>
      </c>
      <c r="C481" s="2">
        <v>60.57</v>
      </c>
    </row>
    <row r="482" spans="1:3" x14ac:dyDescent="0.35">
      <c r="A482" s="1">
        <f>DATE(2021, 11, 1)</f>
        <v>44501</v>
      </c>
      <c r="B482" s="2">
        <v>58.02</v>
      </c>
      <c r="C482" s="2">
        <v>58.8</v>
      </c>
    </row>
    <row r="483" spans="1:3" x14ac:dyDescent="0.35">
      <c r="A483" s="1">
        <f>DATE(2021, 11, 2)</f>
        <v>44502</v>
      </c>
      <c r="B483" s="2">
        <v>60.53</v>
      </c>
      <c r="C483" s="2">
        <v>61.31</v>
      </c>
    </row>
    <row r="484" spans="1:3" x14ac:dyDescent="0.35">
      <c r="A484" s="1">
        <f>DATE(2021, 11, 3)</f>
        <v>44503</v>
      </c>
      <c r="B484" s="2">
        <v>60.89</v>
      </c>
      <c r="C484" s="2">
        <v>61.68</v>
      </c>
    </row>
    <row r="485" spans="1:3" x14ac:dyDescent="0.35">
      <c r="A485" s="1">
        <f>DATE(2021, 11, 4)</f>
        <v>44504</v>
      </c>
      <c r="B485" s="2">
        <v>60.94</v>
      </c>
      <c r="C485" s="2">
        <v>61.73</v>
      </c>
    </row>
    <row r="486" spans="1:3" x14ac:dyDescent="0.35">
      <c r="A486" s="1">
        <f>DATE(2021, 11, 5)</f>
        <v>44505</v>
      </c>
      <c r="B486" s="2">
        <v>60.52</v>
      </c>
      <c r="C486" s="2">
        <v>61.34</v>
      </c>
    </row>
    <row r="487" spans="1:3" x14ac:dyDescent="0.35">
      <c r="A487" s="1">
        <f>DATE(2021, 11, 8)</f>
        <v>44508</v>
      </c>
      <c r="B487" s="2">
        <v>61.75</v>
      </c>
      <c r="C487" s="2">
        <v>62.57</v>
      </c>
    </row>
    <row r="488" spans="1:3" x14ac:dyDescent="0.35">
      <c r="A488" s="1">
        <f>DATE(2021, 11, 9)</f>
        <v>44509</v>
      </c>
      <c r="B488" s="2">
        <v>61.54</v>
      </c>
      <c r="C488" s="2">
        <v>62.38</v>
      </c>
    </row>
    <row r="489" spans="1:3" x14ac:dyDescent="0.35">
      <c r="A489" s="1">
        <f>DATE(2021, 11, 10)</f>
        <v>44510</v>
      </c>
      <c r="B489" s="2">
        <v>64.27</v>
      </c>
      <c r="C489" s="2">
        <v>65.11</v>
      </c>
    </row>
    <row r="490" spans="1:3" x14ac:dyDescent="0.35">
      <c r="A490" s="1">
        <f>DATE(2021, 11, 11)</f>
        <v>44511</v>
      </c>
      <c r="B490" s="2">
        <v>64.81</v>
      </c>
      <c r="C490" s="2">
        <v>65.66</v>
      </c>
    </row>
    <row r="491" spans="1:3" x14ac:dyDescent="0.35">
      <c r="A491" s="1">
        <f>DATE(2021, 11, 12)</f>
        <v>44512</v>
      </c>
      <c r="B491" s="2">
        <v>64.38</v>
      </c>
      <c r="C491" s="2">
        <v>65.239999999999995</v>
      </c>
    </row>
    <row r="492" spans="1:3" x14ac:dyDescent="0.35">
      <c r="A492" s="1">
        <f>DATE(2021, 11, 15)</f>
        <v>44515</v>
      </c>
      <c r="B492" s="2">
        <v>67.02</v>
      </c>
      <c r="C492" s="2">
        <v>67.89</v>
      </c>
    </row>
    <row r="493" spans="1:3" x14ac:dyDescent="0.35">
      <c r="A493" s="1">
        <f>DATE(2021, 11, 16)</f>
        <v>44516</v>
      </c>
      <c r="B493" s="2">
        <v>68.650000000000006</v>
      </c>
      <c r="C493" s="2">
        <v>69.52</v>
      </c>
    </row>
    <row r="494" spans="1:3" x14ac:dyDescent="0.35">
      <c r="A494" s="1">
        <f>DATE(2021, 11, 17)</f>
        <v>44517</v>
      </c>
      <c r="B494" s="2">
        <v>68.28</v>
      </c>
      <c r="C494" s="2">
        <v>69.180000000000007</v>
      </c>
    </row>
    <row r="495" spans="1:3" x14ac:dyDescent="0.35">
      <c r="A495" s="1">
        <f>DATE(2021, 11, 18)</f>
        <v>44518</v>
      </c>
      <c r="B495" s="2">
        <v>70.22</v>
      </c>
      <c r="C495" s="2">
        <v>71.12</v>
      </c>
    </row>
    <row r="496" spans="1:3" x14ac:dyDescent="0.35">
      <c r="A496" s="1">
        <f>DATE(2021, 11, 19)</f>
        <v>44519</v>
      </c>
      <c r="B496" s="2">
        <v>70.53</v>
      </c>
      <c r="C496" s="2">
        <v>71.45</v>
      </c>
    </row>
    <row r="497" spans="1:3" x14ac:dyDescent="0.35">
      <c r="A497" s="1">
        <f>DATE(2021, 11, 22)</f>
        <v>44522</v>
      </c>
      <c r="B497" s="2">
        <v>71.099999999999994</v>
      </c>
      <c r="C497" s="2">
        <v>72.02</v>
      </c>
    </row>
    <row r="498" spans="1:3" x14ac:dyDescent="0.35">
      <c r="A498" s="1">
        <f>DATE(2021, 11, 23)</f>
        <v>44523</v>
      </c>
      <c r="B498" s="2">
        <v>70.34</v>
      </c>
      <c r="C498" s="2">
        <v>71.290000000000006</v>
      </c>
    </row>
    <row r="499" spans="1:3" x14ac:dyDescent="0.35">
      <c r="A499" s="1">
        <f>DATE(2021, 11, 24)</f>
        <v>44524</v>
      </c>
      <c r="B499" s="2">
        <v>74.08</v>
      </c>
      <c r="C499" s="2">
        <v>75.03</v>
      </c>
    </row>
    <row r="500" spans="1:3" x14ac:dyDescent="0.35">
      <c r="A500" s="1">
        <f>DATE(2021, 11, 25)</f>
        <v>44525</v>
      </c>
      <c r="B500" s="2">
        <v>75.64</v>
      </c>
      <c r="C500" s="2">
        <v>76.69</v>
      </c>
    </row>
    <row r="501" spans="1:3" x14ac:dyDescent="0.35">
      <c r="A501" s="1">
        <f>DATE(2021, 11, 26)</f>
        <v>44526</v>
      </c>
      <c r="B501" s="2">
        <v>73.97</v>
      </c>
      <c r="C501" s="2">
        <v>75.02</v>
      </c>
    </row>
    <row r="502" spans="1:3" x14ac:dyDescent="0.35">
      <c r="A502" s="1">
        <f>DATE(2021, 11, 29)</f>
        <v>44529</v>
      </c>
      <c r="B502" s="2">
        <v>75.38</v>
      </c>
      <c r="C502" s="2">
        <v>76.42</v>
      </c>
    </row>
    <row r="503" spans="1:3" x14ac:dyDescent="0.35">
      <c r="A503" s="1">
        <f>DATE(2021, 11, 30)</f>
        <v>44530</v>
      </c>
      <c r="B503" s="2">
        <v>76.55</v>
      </c>
      <c r="C503" s="2">
        <v>77.599999999999994</v>
      </c>
    </row>
    <row r="504" spans="1:3" x14ac:dyDescent="0.35">
      <c r="A504" s="1">
        <f>DATE(2021, 12, 1)</f>
        <v>44531</v>
      </c>
      <c r="B504" s="2">
        <v>78</v>
      </c>
      <c r="C504" s="2">
        <v>79.010000000000005</v>
      </c>
    </row>
    <row r="505" spans="1:3" x14ac:dyDescent="0.35">
      <c r="A505" s="1">
        <f>DATE(2021, 12, 2)</f>
        <v>44532</v>
      </c>
      <c r="B505" s="2">
        <v>81.03</v>
      </c>
      <c r="C505" s="2">
        <v>82.01</v>
      </c>
    </row>
    <row r="506" spans="1:3" x14ac:dyDescent="0.35">
      <c r="A506" s="1">
        <f>DATE(2021, 12, 3)</f>
        <v>44533</v>
      </c>
      <c r="B506" s="2">
        <v>79.42</v>
      </c>
      <c r="C506" s="2">
        <v>80.400000000000006</v>
      </c>
    </row>
    <row r="507" spans="1:3" x14ac:dyDescent="0.35">
      <c r="A507" s="1">
        <f>DATE(2021, 12, 6)</f>
        <v>44536</v>
      </c>
      <c r="B507" s="2">
        <v>82.44</v>
      </c>
      <c r="C507" s="2">
        <v>83.43</v>
      </c>
    </row>
    <row r="508" spans="1:3" x14ac:dyDescent="0.35">
      <c r="A508" s="1">
        <f>DATE(2021, 12, 7)</f>
        <v>44537</v>
      </c>
      <c r="B508" s="2">
        <v>86.09</v>
      </c>
      <c r="C508" s="2">
        <v>87.08</v>
      </c>
    </row>
    <row r="509" spans="1:3" x14ac:dyDescent="0.35">
      <c r="A509" s="1">
        <f>DATE(2021, 12, 8)</f>
        <v>44538</v>
      </c>
      <c r="B509" s="2">
        <v>90.2</v>
      </c>
      <c r="C509" s="2">
        <v>91.2</v>
      </c>
    </row>
    <row r="510" spans="1:3" x14ac:dyDescent="0.35">
      <c r="A510" s="1">
        <f>DATE(2021, 12, 9)</f>
        <v>44539</v>
      </c>
      <c r="B510" s="2">
        <v>81.61</v>
      </c>
      <c r="C510" s="2">
        <v>82.48</v>
      </c>
    </row>
    <row r="511" spans="1:3" x14ac:dyDescent="0.35">
      <c r="A511" s="1">
        <f>DATE(2021, 12, 10)</f>
        <v>44540</v>
      </c>
      <c r="B511" s="2">
        <v>85.06</v>
      </c>
      <c r="C511" s="2">
        <v>85.96</v>
      </c>
    </row>
    <row r="512" spans="1:3" x14ac:dyDescent="0.35">
      <c r="A512" s="1">
        <f>DATE(2021, 12, 13)</f>
        <v>44543</v>
      </c>
      <c r="B512" s="2">
        <v>83.39</v>
      </c>
      <c r="C512" s="2">
        <v>84.28</v>
      </c>
    </row>
    <row r="513" spans="1:4" x14ac:dyDescent="0.35">
      <c r="A513" s="1">
        <f>DATE(2021, 12, 14)</f>
        <v>44544</v>
      </c>
      <c r="B513" s="2">
        <v>80.819999999999993</v>
      </c>
      <c r="C513" s="2">
        <v>81.709999999999994</v>
      </c>
    </row>
    <row r="514" spans="1:4" x14ac:dyDescent="0.35">
      <c r="A514" s="1">
        <f>DATE(2021, 12, 15)</f>
        <v>44545</v>
      </c>
      <c r="B514" s="2">
        <v>81.900000000000006</v>
      </c>
      <c r="C514" s="2">
        <v>82.79</v>
      </c>
    </row>
    <row r="515" spans="1:4" x14ac:dyDescent="0.35">
      <c r="A515" s="1">
        <f>DATE(2021, 12, 16)</f>
        <v>44546</v>
      </c>
      <c r="B515" s="2">
        <v>86.52</v>
      </c>
      <c r="C515" s="2">
        <v>87.41</v>
      </c>
    </row>
    <row r="516" spans="1:4" x14ac:dyDescent="0.35">
      <c r="A516" s="1">
        <f>DATE(2021, 12, 17)</f>
        <v>44547</v>
      </c>
      <c r="B516" s="2">
        <v>74.760000000000005</v>
      </c>
      <c r="C516" s="2">
        <v>75.650000000000006</v>
      </c>
    </row>
    <row r="517" spans="1:4" x14ac:dyDescent="0.35">
      <c r="A517" s="1">
        <f>DATE(2021, 12, 20)</f>
        <v>44550</v>
      </c>
      <c r="B517" s="2">
        <v>80.87</v>
      </c>
      <c r="C517" s="2">
        <v>81.78</v>
      </c>
    </row>
    <row r="518" spans="1:4" x14ac:dyDescent="0.35">
      <c r="A518" s="1">
        <f>DATE(2021, 12, 21)</f>
        <v>44551</v>
      </c>
      <c r="B518" s="2">
        <v>81.8</v>
      </c>
      <c r="C518" s="2">
        <v>82.79</v>
      </c>
    </row>
    <row r="519" spans="1:4" x14ac:dyDescent="0.35">
      <c r="A519" s="1">
        <f>DATE(2021, 12, 22)</f>
        <v>44552</v>
      </c>
      <c r="B519" s="2">
        <v>77.989999999999995</v>
      </c>
      <c r="C519" s="2">
        <v>79.25</v>
      </c>
    </row>
    <row r="520" spans="1:4" x14ac:dyDescent="0.35">
      <c r="A520" s="1">
        <f>DATE(2021, 12, 23)</f>
        <v>44553</v>
      </c>
      <c r="B520" s="2">
        <v>75.5</v>
      </c>
      <c r="C520" s="2">
        <v>76.75</v>
      </c>
    </row>
    <row r="521" spans="1:4" x14ac:dyDescent="0.35">
      <c r="A521" s="1">
        <f>DATE(2021, 12, 24)</f>
        <v>44554</v>
      </c>
      <c r="B521" s="2"/>
      <c r="C521" s="2"/>
    </row>
    <row r="522" spans="1:4" x14ac:dyDescent="0.35">
      <c r="A522" s="1">
        <f>DATE(2021, 12, 27)</f>
        <v>44557</v>
      </c>
      <c r="B522" s="2">
        <v>77.84</v>
      </c>
      <c r="C522" s="2">
        <v>79.010000000000005</v>
      </c>
    </row>
    <row r="523" spans="1:4" x14ac:dyDescent="0.35">
      <c r="A523" s="1">
        <f>DATE(2021, 12, 28)</f>
        <v>44558</v>
      </c>
      <c r="B523" s="2">
        <v>80.209999999999994</v>
      </c>
      <c r="C523" s="2">
        <v>81.37</v>
      </c>
    </row>
    <row r="524" spans="1:4" x14ac:dyDescent="0.35">
      <c r="A524" s="1">
        <f>DATE(2021, 12, 29)</f>
        <v>44559</v>
      </c>
      <c r="B524" s="2">
        <v>81.28</v>
      </c>
      <c r="C524" s="2">
        <v>82.38</v>
      </c>
    </row>
    <row r="525" spans="1:4" x14ac:dyDescent="0.35">
      <c r="A525" s="1">
        <f>DATE(2021, 12, 30)</f>
        <v>44560</v>
      </c>
      <c r="B525" s="2">
        <v>81.06</v>
      </c>
      <c r="C525" s="2">
        <v>82.19</v>
      </c>
    </row>
    <row r="526" spans="1:4" x14ac:dyDescent="0.35">
      <c r="A526" s="1">
        <f>DATE(2021, 12, 31)</f>
        <v>44561</v>
      </c>
      <c r="B526" s="2">
        <v>81.06</v>
      </c>
      <c r="C526" s="2">
        <v>82.19</v>
      </c>
    </row>
    <row r="527" spans="1:4" x14ac:dyDescent="0.35">
      <c r="A527" s="1">
        <f>DATE(2022, 1, 3)</f>
        <v>44564</v>
      </c>
      <c r="B527" s="2">
        <v>84.93</v>
      </c>
      <c r="C527" s="2">
        <v>86.06</v>
      </c>
      <c r="D527" s="5">
        <v>87.69</v>
      </c>
    </row>
    <row r="528" spans="1:4" x14ac:dyDescent="0.35">
      <c r="A528" s="1">
        <f>DATE(2022, 1, 4)</f>
        <v>44565</v>
      </c>
      <c r="B528" s="2">
        <v>85.81</v>
      </c>
      <c r="C528" s="2">
        <v>86.93</v>
      </c>
      <c r="D528" s="5">
        <v>88.77</v>
      </c>
    </row>
    <row r="529" spans="1:4" x14ac:dyDescent="0.35">
      <c r="A529" s="1">
        <f>DATE(2022, 1, 5)</f>
        <v>44566</v>
      </c>
      <c r="B529" s="2">
        <v>88.48</v>
      </c>
      <c r="C529" s="2">
        <v>89.6</v>
      </c>
      <c r="D529" s="5">
        <v>91.51</v>
      </c>
    </row>
    <row r="530" spans="1:4" x14ac:dyDescent="0.35">
      <c r="A530" s="1">
        <f>DATE(2022, 1, 6)</f>
        <v>44567</v>
      </c>
      <c r="B530" s="2">
        <v>87.65</v>
      </c>
      <c r="C530" s="2">
        <v>88.83</v>
      </c>
      <c r="D530" s="5">
        <v>90.76</v>
      </c>
    </row>
    <row r="531" spans="1:4" x14ac:dyDescent="0.35">
      <c r="A531" s="1">
        <f>DATE(2022, 1, 7)</f>
        <v>44568</v>
      </c>
      <c r="B531" s="2">
        <v>86.32</v>
      </c>
      <c r="C531" s="2">
        <v>87.49</v>
      </c>
      <c r="D531" s="5">
        <v>89.43</v>
      </c>
    </row>
    <row r="532" spans="1:4" x14ac:dyDescent="0.35">
      <c r="A532" s="1">
        <f>DATE(2022, 1, 10)</f>
        <v>44571</v>
      </c>
      <c r="B532" s="2">
        <v>80.98</v>
      </c>
      <c r="C532" s="2">
        <v>82.16</v>
      </c>
      <c r="D532" s="5">
        <v>84.08</v>
      </c>
    </row>
    <row r="533" spans="1:4" x14ac:dyDescent="0.35">
      <c r="A533" s="1">
        <f>DATE(2022, 1, 11)</f>
        <v>44572</v>
      </c>
      <c r="B533" s="2">
        <v>82.18</v>
      </c>
      <c r="C533" s="2">
        <v>83.4</v>
      </c>
      <c r="D533" s="5">
        <v>85.32</v>
      </c>
    </row>
    <row r="534" spans="1:4" x14ac:dyDescent="0.35">
      <c r="A534" s="1">
        <f>DATE(2022, 1, 12)</f>
        <v>44573</v>
      </c>
      <c r="B534" s="2">
        <v>80.88</v>
      </c>
      <c r="C534" s="2">
        <v>82.1</v>
      </c>
      <c r="D534" s="5">
        <v>84.02</v>
      </c>
    </row>
    <row r="535" spans="1:4" x14ac:dyDescent="0.35">
      <c r="A535" s="1">
        <f>DATE(2022, 1, 13)</f>
        <v>44574</v>
      </c>
      <c r="B535" s="2">
        <v>81.39</v>
      </c>
      <c r="C535" s="2">
        <v>82.62</v>
      </c>
      <c r="D535" s="5">
        <v>84.54</v>
      </c>
    </row>
    <row r="536" spans="1:4" x14ac:dyDescent="0.35">
      <c r="A536" s="1">
        <f>DATE(2022, 1, 14)</f>
        <v>44575</v>
      </c>
      <c r="B536" s="2">
        <v>82.91</v>
      </c>
      <c r="C536" s="2">
        <v>84.16</v>
      </c>
      <c r="D536" s="5">
        <v>86.08</v>
      </c>
    </row>
    <row r="537" spans="1:4" x14ac:dyDescent="0.35">
      <c r="A537" s="1">
        <f>DATE(2022, 1, 17)</f>
        <v>44578</v>
      </c>
      <c r="B537" s="2">
        <v>81.400000000000006</v>
      </c>
      <c r="C537" s="2">
        <v>82.67</v>
      </c>
      <c r="D537" s="5">
        <v>84.61</v>
      </c>
    </row>
    <row r="538" spans="1:4" x14ac:dyDescent="0.35">
      <c r="A538" s="1">
        <f>DATE(2022, 1, 18)</f>
        <v>44579</v>
      </c>
      <c r="B538" s="2">
        <v>83.52</v>
      </c>
      <c r="C538" s="2">
        <v>84.8</v>
      </c>
      <c r="D538" s="5">
        <v>86.82</v>
      </c>
    </row>
    <row r="539" spans="1:4" x14ac:dyDescent="0.35">
      <c r="A539" s="1">
        <f>DATE(2022, 1, 19)</f>
        <v>44580</v>
      </c>
      <c r="B539" s="2">
        <v>82.93</v>
      </c>
      <c r="C539" s="2">
        <v>84.21</v>
      </c>
      <c r="D539" s="5">
        <v>86.22</v>
      </c>
    </row>
    <row r="540" spans="1:4" x14ac:dyDescent="0.35">
      <c r="A540" s="1">
        <f>DATE(2022, 1, 20)</f>
        <v>44581</v>
      </c>
      <c r="B540" s="2">
        <v>86.43</v>
      </c>
      <c r="C540" s="2">
        <v>87.71</v>
      </c>
      <c r="D540" s="5">
        <v>89.72</v>
      </c>
    </row>
    <row r="541" spans="1:4" x14ac:dyDescent="0.35">
      <c r="A541" s="1">
        <f>DATE(2022, 1, 21)</f>
        <v>44582</v>
      </c>
      <c r="B541" s="2">
        <v>85.29</v>
      </c>
      <c r="C541" s="2">
        <v>86.59</v>
      </c>
      <c r="D541" s="5">
        <v>88.67</v>
      </c>
    </row>
    <row r="542" spans="1:4" x14ac:dyDescent="0.35">
      <c r="A542" s="1">
        <f>DATE(2022, 1, 24)</f>
        <v>44585</v>
      </c>
      <c r="B542" s="2">
        <v>84.84</v>
      </c>
      <c r="C542" s="2">
        <v>86.12</v>
      </c>
      <c r="D542" s="5">
        <v>88.18</v>
      </c>
    </row>
    <row r="543" spans="1:4" x14ac:dyDescent="0.35">
      <c r="A543" s="1">
        <f>DATE(2022, 1, 25)</f>
        <v>44586</v>
      </c>
      <c r="B543" s="2">
        <v>88.27</v>
      </c>
      <c r="C543" s="2">
        <v>89.56</v>
      </c>
      <c r="D543" s="5">
        <v>91.64</v>
      </c>
    </row>
    <row r="544" spans="1:4" x14ac:dyDescent="0.35">
      <c r="A544" s="1">
        <f>DATE(2022, 1, 26)</f>
        <v>44587</v>
      </c>
      <c r="B544" s="2">
        <v>89.49</v>
      </c>
      <c r="C544" s="2">
        <v>90.76</v>
      </c>
      <c r="D544" s="5">
        <v>92.84</v>
      </c>
    </row>
    <row r="545" spans="1:4" x14ac:dyDescent="0.35">
      <c r="A545" s="1">
        <f>DATE(2022, 1, 27)</f>
        <v>44588</v>
      </c>
      <c r="B545" s="2">
        <v>90.61</v>
      </c>
      <c r="C545" s="2">
        <v>91.87</v>
      </c>
      <c r="D545" s="5">
        <v>93.96</v>
      </c>
    </row>
    <row r="546" spans="1:4" x14ac:dyDescent="0.35">
      <c r="A546" s="1">
        <f>DATE(2022, 1, 28)</f>
        <v>44589</v>
      </c>
      <c r="B546" s="2">
        <v>90.08</v>
      </c>
      <c r="C546" s="2">
        <v>91.35</v>
      </c>
      <c r="D546" s="5">
        <v>93.46</v>
      </c>
    </row>
    <row r="547" spans="1:4" x14ac:dyDescent="0.35">
      <c r="A547" s="1">
        <f>DATE(2022, 1, 31)</f>
        <v>44592</v>
      </c>
      <c r="B547" s="2">
        <v>90.11</v>
      </c>
      <c r="C547" s="2">
        <v>91.36</v>
      </c>
      <c r="D547" s="5">
        <v>93.48</v>
      </c>
    </row>
    <row r="548" spans="1:4" x14ac:dyDescent="0.35">
      <c r="A548" s="1">
        <f>DATE(2022, 2, 1)</f>
        <v>44593</v>
      </c>
      <c r="B548" s="2">
        <v>90.4</v>
      </c>
      <c r="C548" s="2">
        <v>91.65</v>
      </c>
      <c r="D548" s="5">
        <v>93.77</v>
      </c>
    </row>
    <row r="549" spans="1:4" x14ac:dyDescent="0.35">
      <c r="A549" s="1">
        <f>DATE(2022, 2, 2)</f>
        <v>44594</v>
      </c>
      <c r="B549" s="2">
        <v>95.32</v>
      </c>
      <c r="C549" s="2">
        <v>96.63</v>
      </c>
      <c r="D549" s="5">
        <v>98.43</v>
      </c>
    </row>
    <row r="550" spans="1:4" x14ac:dyDescent="0.35">
      <c r="A550" s="1">
        <f>DATE(2022, 2, 3)</f>
        <v>44595</v>
      </c>
      <c r="B550" s="2">
        <v>95.86</v>
      </c>
      <c r="C550" s="2">
        <v>97.29</v>
      </c>
      <c r="D550" s="5">
        <v>99.06</v>
      </c>
    </row>
    <row r="551" spans="1:4" x14ac:dyDescent="0.35">
      <c r="A551" s="1">
        <f>DATE(2022, 2, 4)</f>
        <v>44596</v>
      </c>
      <c r="B551" s="2">
        <v>97.6</v>
      </c>
      <c r="C551" s="2">
        <v>99.04</v>
      </c>
      <c r="D551" s="5">
        <v>100.84</v>
      </c>
    </row>
    <row r="552" spans="1:4" x14ac:dyDescent="0.35">
      <c r="A552" s="1">
        <f>DATE(2022, 2, 7)</f>
        <v>44599</v>
      </c>
      <c r="B552" s="2">
        <v>97.98</v>
      </c>
      <c r="C552" s="2">
        <v>99.61</v>
      </c>
      <c r="D552" s="5">
        <v>101.68</v>
      </c>
    </row>
    <row r="553" spans="1:4" x14ac:dyDescent="0.35">
      <c r="A553" s="1">
        <f>DATE(2022, 2, 8)</f>
        <v>44600</v>
      </c>
      <c r="B553" s="2">
        <v>98.3</v>
      </c>
      <c r="C553" s="2">
        <v>100.42</v>
      </c>
      <c r="D553" s="5">
        <v>102.82</v>
      </c>
    </row>
    <row r="554" spans="1:4" x14ac:dyDescent="0.35">
      <c r="A554" s="1">
        <f>DATE(2022, 2, 9)</f>
        <v>44601</v>
      </c>
      <c r="B554" s="2">
        <v>92.21</v>
      </c>
      <c r="C554" s="2">
        <v>94.56</v>
      </c>
      <c r="D554" s="5">
        <v>97.05</v>
      </c>
    </row>
    <row r="555" spans="1:4" x14ac:dyDescent="0.35">
      <c r="A555" s="1">
        <f>DATE(2022, 2, 10)</f>
        <v>44602</v>
      </c>
      <c r="B555" s="2">
        <v>92.23</v>
      </c>
      <c r="C555" s="2">
        <v>94.56</v>
      </c>
      <c r="D555" s="5">
        <v>97.09</v>
      </c>
    </row>
    <row r="556" spans="1:4" x14ac:dyDescent="0.35">
      <c r="A556" s="1">
        <f>DATE(2022, 2, 11)</f>
        <v>44603</v>
      </c>
      <c r="B556" s="2">
        <v>94.38</v>
      </c>
      <c r="C556" s="2">
        <v>96.45</v>
      </c>
      <c r="D556" s="5">
        <v>98.98</v>
      </c>
    </row>
    <row r="557" spans="1:4" x14ac:dyDescent="0.35">
      <c r="A557" s="1">
        <f>DATE(2022, 2, 14)</f>
        <v>44606</v>
      </c>
      <c r="B557" s="2">
        <v>93.36</v>
      </c>
      <c r="C557" s="2">
        <v>95.46</v>
      </c>
      <c r="D557" s="5">
        <v>98.18</v>
      </c>
    </row>
    <row r="558" spans="1:4" x14ac:dyDescent="0.35">
      <c r="A558" s="1">
        <f>DATE(2022, 2, 15)</f>
        <v>44607</v>
      </c>
      <c r="B558" s="2">
        <v>92.67</v>
      </c>
      <c r="C558" s="2">
        <v>94.99</v>
      </c>
      <c r="D558" s="5">
        <v>97.78</v>
      </c>
    </row>
    <row r="559" spans="1:4" x14ac:dyDescent="0.35">
      <c r="A559" s="1">
        <f>DATE(2022, 2, 16)</f>
        <v>44608</v>
      </c>
      <c r="B559" s="2">
        <v>91.37</v>
      </c>
      <c r="C559" s="2">
        <v>93.65</v>
      </c>
      <c r="D559" s="5">
        <v>96.43</v>
      </c>
    </row>
    <row r="560" spans="1:4" x14ac:dyDescent="0.35">
      <c r="A560" s="1">
        <f>DATE(2022, 2, 17)</f>
        <v>44609</v>
      </c>
      <c r="B560" s="2">
        <v>87.97</v>
      </c>
      <c r="C560" s="2">
        <v>90.21</v>
      </c>
      <c r="D560" s="5">
        <v>92.95</v>
      </c>
    </row>
    <row r="561" spans="1:4" x14ac:dyDescent="0.35">
      <c r="A561" s="1">
        <f>DATE(2022, 2, 18)</f>
        <v>44610</v>
      </c>
      <c r="B561" s="2">
        <v>90.98</v>
      </c>
      <c r="C561" s="2">
        <v>93.17</v>
      </c>
      <c r="D561" s="5">
        <v>95.85</v>
      </c>
    </row>
    <row r="562" spans="1:4" x14ac:dyDescent="0.35">
      <c r="A562" s="1">
        <f>DATE(2022, 2, 21)</f>
        <v>44613</v>
      </c>
      <c r="B562" s="2">
        <v>91.18</v>
      </c>
      <c r="C562" s="2">
        <v>93.37</v>
      </c>
      <c r="D562" s="5">
        <v>96.08</v>
      </c>
    </row>
    <row r="563" spans="1:4" x14ac:dyDescent="0.35">
      <c r="A563" s="1">
        <f>DATE(2022, 2, 22)</f>
        <v>44614</v>
      </c>
      <c r="B563" s="2">
        <v>91.28</v>
      </c>
      <c r="C563" s="2">
        <v>93.44</v>
      </c>
      <c r="D563" s="5">
        <v>96.12</v>
      </c>
    </row>
    <row r="564" spans="1:4" x14ac:dyDescent="0.35">
      <c r="A564" s="1">
        <f>DATE(2022, 2, 23)</f>
        <v>44615</v>
      </c>
      <c r="B564" s="2">
        <v>96.55</v>
      </c>
      <c r="C564" s="2">
        <v>98.7</v>
      </c>
      <c r="D564" s="5">
        <v>101.37</v>
      </c>
    </row>
    <row r="565" spans="1:4" x14ac:dyDescent="0.35">
      <c r="A565" s="1">
        <f>DATE(2022, 2, 24)</f>
        <v>44616</v>
      </c>
      <c r="B565" s="2">
        <v>88.54</v>
      </c>
      <c r="C565" s="2">
        <v>90.61</v>
      </c>
      <c r="D565" s="5">
        <v>93.28</v>
      </c>
    </row>
    <row r="566" spans="1:4" x14ac:dyDescent="0.35">
      <c r="A566" s="1">
        <f>DATE(2022, 2, 25)</f>
        <v>44617</v>
      </c>
      <c r="B566" s="2">
        <v>89.64</v>
      </c>
      <c r="C566" s="2">
        <v>91.7</v>
      </c>
      <c r="D566" s="5">
        <v>94.35</v>
      </c>
    </row>
    <row r="567" spans="1:4" x14ac:dyDescent="0.35">
      <c r="A567" s="1">
        <f>DATE(2022, 2, 28)</f>
        <v>44620</v>
      </c>
      <c r="B567" s="2">
        <v>83.67</v>
      </c>
      <c r="C567" s="2">
        <v>85.73</v>
      </c>
      <c r="D567" s="5">
        <v>88.27</v>
      </c>
    </row>
    <row r="568" spans="1:4" x14ac:dyDescent="0.35">
      <c r="A568" s="1">
        <f>DATE(2022, 3, 1)</f>
        <v>44621</v>
      </c>
      <c r="B568" s="2">
        <v>70.2</v>
      </c>
      <c r="C568" s="2">
        <v>72.150000000000006</v>
      </c>
      <c r="D568" s="5">
        <v>74.540000000000006</v>
      </c>
    </row>
    <row r="569" spans="1:4" x14ac:dyDescent="0.35">
      <c r="A569" s="1">
        <f>DATE(2022, 3, 2)</f>
        <v>44622</v>
      </c>
      <c r="B569" s="2">
        <v>69.75</v>
      </c>
      <c r="C569" s="2">
        <v>71.430000000000007</v>
      </c>
      <c r="D569" s="5">
        <v>73.78</v>
      </c>
    </row>
    <row r="570" spans="1:4" x14ac:dyDescent="0.35">
      <c r="A570" s="1">
        <f>DATE(2022, 3, 3)</f>
        <v>44623</v>
      </c>
      <c r="B570" s="2">
        <v>68.680000000000007</v>
      </c>
      <c r="C570" s="2">
        <v>70.739999999999995</v>
      </c>
      <c r="D570" s="5">
        <v>72.959999999999994</v>
      </c>
    </row>
    <row r="571" spans="1:4" x14ac:dyDescent="0.35">
      <c r="A571" s="1">
        <f>DATE(2022, 3, 4)</f>
        <v>44624</v>
      </c>
      <c r="B571" s="2">
        <v>66.430000000000007</v>
      </c>
      <c r="C571" s="2">
        <v>68.27</v>
      </c>
      <c r="D571" s="5">
        <v>70.86</v>
      </c>
    </row>
    <row r="572" spans="1:4" x14ac:dyDescent="0.35">
      <c r="A572" s="1">
        <f>DATE(2022, 3, 7)</f>
        <v>44627</v>
      </c>
      <c r="B572" s="2">
        <v>59.62</v>
      </c>
      <c r="C572" s="2">
        <v>61.75</v>
      </c>
      <c r="D572" s="5">
        <v>64.349999999999994</v>
      </c>
    </row>
    <row r="573" spans="1:4" x14ac:dyDescent="0.35">
      <c r="A573" s="1">
        <f>DATE(2022, 3, 8)</f>
        <v>44628</v>
      </c>
      <c r="B573" s="2">
        <v>69.75</v>
      </c>
      <c r="C573" s="2">
        <v>71.989999999999995</v>
      </c>
      <c r="D573" s="5">
        <v>74.540000000000006</v>
      </c>
    </row>
    <row r="574" spans="1:4" x14ac:dyDescent="0.35">
      <c r="A574" s="1">
        <f>DATE(2022, 3, 9)</f>
        <v>44629</v>
      </c>
      <c r="B574" s="2">
        <v>74.45</v>
      </c>
      <c r="C574" s="2">
        <v>76.61</v>
      </c>
      <c r="D574" s="5">
        <v>79.22</v>
      </c>
    </row>
    <row r="575" spans="1:4" x14ac:dyDescent="0.35">
      <c r="A575" s="1">
        <f>DATE(2022, 3, 10)</f>
        <v>44630</v>
      </c>
      <c r="B575" s="2">
        <v>77.819999999999993</v>
      </c>
      <c r="C575" s="2">
        <v>80</v>
      </c>
      <c r="D575" s="5">
        <v>82.67</v>
      </c>
    </row>
    <row r="576" spans="1:4" x14ac:dyDescent="0.35">
      <c r="A576" s="1">
        <f>DATE(2022, 3, 11)</f>
        <v>44631</v>
      </c>
      <c r="B576" s="2">
        <v>78.06</v>
      </c>
      <c r="C576" s="2">
        <v>80.23</v>
      </c>
      <c r="D576" s="5">
        <v>82.9</v>
      </c>
    </row>
    <row r="577" spans="1:4" x14ac:dyDescent="0.35">
      <c r="A577" s="1">
        <f>DATE(2022, 3, 14)</f>
        <v>44634</v>
      </c>
      <c r="B577" s="2">
        <v>79.599999999999994</v>
      </c>
      <c r="C577" s="2">
        <v>81.760000000000005</v>
      </c>
      <c r="D577" s="5">
        <v>84.43</v>
      </c>
    </row>
    <row r="578" spans="1:4" x14ac:dyDescent="0.35">
      <c r="A578" s="1">
        <f>DATE(2022, 3, 15)</f>
        <v>44635</v>
      </c>
      <c r="B578" s="2">
        <v>78.73</v>
      </c>
      <c r="C578" s="2">
        <v>80.84</v>
      </c>
      <c r="D578" s="5">
        <v>83.44</v>
      </c>
    </row>
    <row r="579" spans="1:4" x14ac:dyDescent="0.35">
      <c r="A579" s="1">
        <f>DATE(2022, 3, 16)</f>
        <v>44636</v>
      </c>
      <c r="B579" s="2">
        <v>79.489999999999995</v>
      </c>
      <c r="C579" s="2">
        <v>81.599999999999994</v>
      </c>
      <c r="D579" s="5">
        <v>84.18</v>
      </c>
    </row>
    <row r="580" spans="1:4" x14ac:dyDescent="0.35">
      <c r="A580" s="1">
        <f>DATE(2022, 3, 17)</f>
        <v>44637</v>
      </c>
      <c r="B580" s="2">
        <v>81.23</v>
      </c>
      <c r="C580" s="2">
        <v>83.36</v>
      </c>
      <c r="D580" s="5">
        <v>85.96</v>
      </c>
    </row>
    <row r="581" spans="1:4" x14ac:dyDescent="0.35">
      <c r="A581" s="1">
        <f>DATE(2022, 3, 18)</f>
        <v>44638</v>
      </c>
      <c r="B581" s="2">
        <v>80.23</v>
      </c>
      <c r="C581" s="2">
        <v>82.38</v>
      </c>
      <c r="D581" s="5">
        <v>84.99</v>
      </c>
    </row>
    <row r="582" spans="1:4" x14ac:dyDescent="0.35">
      <c r="A582" s="1">
        <f>DATE(2022, 3, 21)</f>
        <v>44641</v>
      </c>
      <c r="B582" s="2">
        <v>79.75</v>
      </c>
      <c r="C582" s="2">
        <v>81.95</v>
      </c>
      <c r="D582" s="5">
        <v>84.52</v>
      </c>
    </row>
    <row r="583" spans="1:4" x14ac:dyDescent="0.35">
      <c r="A583" s="1">
        <f>DATE(2022, 3, 22)</f>
        <v>44642</v>
      </c>
      <c r="B583" s="2">
        <v>82.09</v>
      </c>
      <c r="C583" s="2">
        <v>84.25</v>
      </c>
      <c r="D583" s="5">
        <v>86.84</v>
      </c>
    </row>
    <row r="584" spans="1:4" x14ac:dyDescent="0.35">
      <c r="A584" s="1">
        <f>DATE(2022, 3, 23)</f>
        <v>44643</v>
      </c>
      <c r="B584" s="2">
        <v>77.989999999999995</v>
      </c>
      <c r="C584" s="2">
        <v>80.05</v>
      </c>
      <c r="D584" s="5">
        <v>82.64</v>
      </c>
    </row>
    <row r="585" spans="1:4" x14ac:dyDescent="0.35">
      <c r="A585" s="1">
        <f>DATE(2022, 3, 24)</f>
        <v>44644</v>
      </c>
      <c r="B585" s="2">
        <v>79.650000000000006</v>
      </c>
      <c r="C585" s="2">
        <v>81.760000000000005</v>
      </c>
      <c r="D585" s="5">
        <v>84.38</v>
      </c>
    </row>
    <row r="586" spans="1:4" x14ac:dyDescent="0.35">
      <c r="A586" s="1">
        <f>DATE(2022, 3, 25)</f>
        <v>44645</v>
      </c>
      <c r="B586" s="2">
        <v>80.040000000000006</v>
      </c>
      <c r="C586" s="2">
        <v>82.09</v>
      </c>
      <c r="D586" s="5">
        <v>84.63</v>
      </c>
    </row>
    <row r="587" spans="1:4" x14ac:dyDescent="0.35">
      <c r="A587" s="1">
        <f>DATE(2022, 3, 28)</f>
        <v>44648</v>
      </c>
      <c r="B587" s="2">
        <v>82.34</v>
      </c>
      <c r="C587" s="2">
        <v>84.44</v>
      </c>
      <c r="D587" s="5">
        <v>86.96</v>
      </c>
    </row>
    <row r="588" spans="1:4" x14ac:dyDescent="0.35">
      <c r="A588" s="1">
        <f>DATE(2022, 3, 29)</f>
        <v>44649</v>
      </c>
      <c r="B588" s="2">
        <v>83.33</v>
      </c>
      <c r="C588" s="2">
        <v>85.47</v>
      </c>
      <c r="D588" s="5">
        <v>88</v>
      </c>
    </row>
    <row r="589" spans="1:4" x14ac:dyDescent="0.35">
      <c r="A589" s="1">
        <f>DATE(2022, 3, 30)</f>
        <v>44650</v>
      </c>
      <c r="B589" s="2">
        <v>80.14</v>
      </c>
      <c r="C589" s="2">
        <v>82.43</v>
      </c>
      <c r="D589" s="5">
        <v>84.89</v>
      </c>
    </row>
    <row r="590" spans="1:4" x14ac:dyDescent="0.35">
      <c r="A590" s="1">
        <f>DATE(2022, 3, 31)</f>
        <v>44651</v>
      </c>
      <c r="B590" s="2">
        <v>78.25</v>
      </c>
      <c r="C590" s="2">
        <v>80.5</v>
      </c>
      <c r="D590" s="5">
        <v>82.95</v>
      </c>
    </row>
    <row r="591" spans="1:4" x14ac:dyDescent="0.35">
      <c r="A591" s="1">
        <f>DATE(2022, 4, 1)</f>
        <v>44652</v>
      </c>
      <c r="B591" s="2">
        <v>80.3</v>
      </c>
      <c r="C591" s="2">
        <v>82.54</v>
      </c>
      <c r="D591" s="5">
        <v>85</v>
      </c>
    </row>
    <row r="592" spans="1:4" x14ac:dyDescent="0.35">
      <c r="A592" s="1">
        <f>DATE(2022, 4, 4)</f>
        <v>44655</v>
      </c>
      <c r="B592" s="2">
        <v>80.31</v>
      </c>
      <c r="C592" s="2">
        <v>82.55</v>
      </c>
      <c r="D592" s="5">
        <v>85.06</v>
      </c>
    </row>
    <row r="593" spans="1:4" x14ac:dyDescent="0.35">
      <c r="A593" s="1">
        <f>DATE(2022, 4, 5)</f>
        <v>44656</v>
      </c>
      <c r="B593" s="2">
        <v>79.88</v>
      </c>
      <c r="C593" s="2">
        <v>82.12</v>
      </c>
      <c r="D593" s="5">
        <v>84.61</v>
      </c>
    </row>
    <row r="594" spans="1:4" x14ac:dyDescent="0.35">
      <c r="A594" s="1">
        <f>DATE(2022, 4, 6)</f>
        <v>44657</v>
      </c>
      <c r="B594" s="2">
        <v>79.010000000000005</v>
      </c>
      <c r="C594" s="2">
        <v>81.3</v>
      </c>
      <c r="D594" s="5">
        <v>83.77</v>
      </c>
    </row>
    <row r="595" spans="1:4" x14ac:dyDescent="0.35">
      <c r="A595" s="1">
        <f>DATE(2022, 4, 7)</f>
        <v>44658</v>
      </c>
      <c r="B595" s="2">
        <v>81.87</v>
      </c>
      <c r="C595" s="2">
        <v>84.22</v>
      </c>
      <c r="D595" s="5">
        <v>86.77</v>
      </c>
    </row>
    <row r="596" spans="1:4" x14ac:dyDescent="0.35">
      <c r="A596" s="1">
        <f>DATE(2022, 4, 8)</f>
        <v>44659</v>
      </c>
      <c r="B596" s="2">
        <v>82.04</v>
      </c>
      <c r="C596" s="2">
        <v>84.4</v>
      </c>
      <c r="D596" s="5">
        <v>86.93</v>
      </c>
    </row>
    <row r="597" spans="1:4" x14ac:dyDescent="0.35">
      <c r="A597" s="1">
        <f>DATE(2022, 4, 11)</f>
        <v>44662</v>
      </c>
      <c r="B597" s="2">
        <v>79.94</v>
      </c>
      <c r="C597" s="2">
        <v>82.34</v>
      </c>
      <c r="D597" s="5">
        <v>84.83</v>
      </c>
    </row>
    <row r="598" spans="1:4" x14ac:dyDescent="0.35">
      <c r="A598" s="1">
        <f>DATE(2022, 4, 12)</f>
        <v>44663</v>
      </c>
      <c r="B598" s="2">
        <v>81</v>
      </c>
      <c r="C598" s="2">
        <v>83.43</v>
      </c>
      <c r="D598" s="5">
        <v>85.89</v>
      </c>
    </row>
    <row r="599" spans="1:4" x14ac:dyDescent="0.35">
      <c r="A599" s="1">
        <f>DATE(2022, 4, 13)</f>
        <v>44664</v>
      </c>
      <c r="B599" s="2">
        <v>79.45</v>
      </c>
      <c r="C599" s="2">
        <v>81.91</v>
      </c>
      <c r="D599" s="5">
        <v>84.35</v>
      </c>
    </row>
    <row r="600" spans="1:4" x14ac:dyDescent="0.35">
      <c r="A600" s="1">
        <f>DATE(2022, 4, 14)</f>
        <v>44665</v>
      </c>
      <c r="B600" s="2">
        <v>82.1</v>
      </c>
      <c r="C600" s="2">
        <v>84.57</v>
      </c>
      <c r="D600" s="5">
        <v>87.06</v>
      </c>
    </row>
    <row r="601" spans="1:4" x14ac:dyDescent="0.35">
      <c r="A601" s="1">
        <f>DATE(2022, 4, 15)</f>
        <v>44666</v>
      </c>
      <c r="B601" s="2"/>
      <c r="C601" s="2"/>
      <c r="D601" s="5"/>
    </row>
    <row r="602" spans="1:4" x14ac:dyDescent="0.35">
      <c r="A602" s="1">
        <f>DATE(2022, 4, 18)</f>
        <v>44669</v>
      </c>
      <c r="B602" s="2"/>
      <c r="C602" s="2"/>
      <c r="D602" s="5"/>
    </row>
    <row r="603" spans="1:4" x14ac:dyDescent="0.35">
      <c r="A603" s="1">
        <f>DATE(2022, 4, 19)</f>
        <v>44670</v>
      </c>
      <c r="B603" s="2">
        <v>82.21</v>
      </c>
      <c r="C603" s="2">
        <v>84.69</v>
      </c>
      <c r="D603" s="5">
        <v>87.16</v>
      </c>
    </row>
    <row r="604" spans="1:4" x14ac:dyDescent="0.35">
      <c r="A604" s="1">
        <f>DATE(2022, 4, 20)</f>
        <v>44671</v>
      </c>
      <c r="B604" s="2">
        <v>89.94</v>
      </c>
      <c r="C604" s="2">
        <v>92.56</v>
      </c>
      <c r="D604" s="5">
        <v>95.11</v>
      </c>
    </row>
    <row r="605" spans="1:4" x14ac:dyDescent="0.35">
      <c r="A605" s="1">
        <f>DATE(2022, 4, 21)</f>
        <v>44672</v>
      </c>
      <c r="B605" s="2">
        <v>88.69</v>
      </c>
      <c r="C605" s="2">
        <v>91.41</v>
      </c>
      <c r="D605" s="5">
        <v>94.15</v>
      </c>
    </row>
    <row r="606" spans="1:4" x14ac:dyDescent="0.35">
      <c r="A606" s="1">
        <f>DATE(2022, 4, 22)</f>
        <v>44673</v>
      </c>
      <c r="B606" s="2">
        <v>91.32</v>
      </c>
      <c r="C606" s="2">
        <v>94.12</v>
      </c>
      <c r="D606" s="5">
        <v>97.11</v>
      </c>
    </row>
    <row r="607" spans="1:4" x14ac:dyDescent="0.35">
      <c r="A607" s="1">
        <f>DATE(2022, 4, 25)</f>
        <v>44676</v>
      </c>
      <c r="B607" s="2">
        <v>85.79</v>
      </c>
      <c r="C607" s="2">
        <v>88.6</v>
      </c>
      <c r="D607" s="5">
        <v>91.67</v>
      </c>
    </row>
    <row r="608" spans="1:4" x14ac:dyDescent="0.35">
      <c r="A608" s="1">
        <f>DATE(2022, 4, 26)</f>
        <v>44677</v>
      </c>
      <c r="B608" s="2">
        <v>85.04</v>
      </c>
      <c r="C608" s="2">
        <v>87.89</v>
      </c>
      <c r="D608" s="5">
        <v>90.98</v>
      </c>
    </row>
    <row r="609" spans="1:4" x14ac:dyDescent="0.35">
      <c r="A609" s="1">
        <f>DATE(2022, 4, 27)</f>
        <v>44678</v>
      </c>
      <c r="B609" s="2">
        <v>83.3</v>
      </c>
      <c r="C609" s="2">
        <v>86.16</v>
      </c>
      <c r="D609" s="5">
        <v>89.25</v>
      </c>
    </row>
    <row r="610" spans="1:4" x14ac:dyDescent="0.35">
      <c r="A610" s="1">
        <f>DATE(2022, 4, 28)</f>
        <v>44679</v>
      </c>
      <c r="B610" s="2">
        <v>84.96</v>
      </c>
      <c r="C610" s="2">
        <v>87.86</v>
      </c>
      <c r="D610" s="5">
        <v>90.96</v>
      </c>
    </row>
    <row r="611" spans="1:4" x14ac:dyDescent="0.35">
      <c r="A611" s="1">
        <f>DATE(2022, 4, 29)</f>
        <v>44680</v>
      </c>
      <c r="B611" s="2">
        <v>86.82</v>
      </c>
      <c r="C611" s="2">
        <v>89.74</v>
      </c>
      <c r="D611" s="5">
        <v>93</v>
      </c>
    </row>
    <row r="612" spans="1:4" x14ac:dyDescent="0.35">
      <c r="A612" s="1">
        <f>DATE(2022, 5, 2)</f>
        <v>44683</v>
      </c>
      <c r="B612" s="2">
        <v>85.55</v>
      </c>
      <c r="C612" s="2">
        <v>88.57</v>
      </c>
      <c r="D612" s="5">
        <v>92</v>
      </c>
    </row>
    <row r="613" spans="1:4" x14ac:dyDescent="0.35">
      <c r="A613" s="1">
        <f>DATE(2022, 5, 3)</f>
        <v>44684</v>
      </c>
      <c r="B613" s="2">
        <v>91.03</v>
      </c>
      <c r="C613" s="2">
        <v>94.39</v>
      </c>
      <c r="D613" s="5">
        <v>98.09</v>
      </c>
    </row>
    <row r="614" spans="1:4" x14ac:dyDescent="0.35">
      <c r="A614" s="1">
        <f>DATE(2022, 5, 4)</f>
        <v>44685</v>
      </c>
      <c r="B614" s="2">
        <v>91.16</v>
      </c>
      <c r="C614" s="2">
        <v>94.6</v>
      </c>
      <c r="D614" s="5">
        <v>98.33</v>
      </c>
    </row>
    <row r="615" spans="1:4" x14ac:dyDescent="0.35">
      <c r="A615" s="1">
        <f>DATE(2022, 5, 5)</f>
        <v>44686</v>
      </c>
      <c r="B615" s="2">
        <v>92.05</v>
      </c>
      <c r="C615" s="2">
        <v>95.91</v>
      </c>
      <c r="D615" s="5">
        <v>100.27</v>
      </c>
    </row>
    <row r="616" spans="1:4" x14ac:dyDescent="0.35">
      <c r="A616" s="1">
        <f>DATE(2022, 5, 6)</f>
        <v>44687</v>
      </c>
      <c r="B616" s="2">
        <v>94.52</v>
      </c>
      <c r="C616" s="2">
        <v>98.4</v>
      </c>
      <c r="D616" s="5">
        <v>102.85</v>
      </c>
    </row>
    <row r="617" spans="1:4" x14ac:dyDescent="0.35">
      <c r="A617" s="1">
        <f>DATE(2022, 5, 9)</f>
        <v>44690</v>
      </c>
      <c r="B617" s="2">
        <v>89.89</v>
      </c>
      <c r="C617" s="2">
        <v>93.77</v>
      </c>
      <c r="D617" s="5">
        <v>98.18</v>
      </c>
    </row>
    <row r="618" spans="1:4" x14ac:dyDescent="0.35">
      <c r="A618" s="1">
        <f>DATE(2022, 5, 10)</f>
        <v>44691</v>
      </c>
      <c r="B618" s="2">
        <v>90.2</v>
      </c>
      <c r="C618" s="2">
        <v>94.12</v>
      </c>
      <c r="D618" s="5">
        <v>98.6</v>
      </c>
    </row>
    <row r="619" spans="1:4" x14ac:dyDescent="0.35">
      <c r="A619" s="1">
        <f>DATE(2022, 5, 11)</f>
        <v>44692</v>
      </c>
      <c r="B619" s="2">
        <v>91.72</v>
      </c>
      <c r="C619" s="2">
        <v>95.64</v>
      </c>
      <c r="D619" s="5">
        <v>100.27</v>
      </c>
    </row>
    <row r="620" spans="1:4" x14ac:dyDescent="0.35">
      <c r="A620" s="1">
        <f>DATE(2022, 5, 12)</f>
        <v>44693</v>
      </c>
      <c r="B620" s="2">
        <v>91.14</v>
      </c>
      <c r="C620" s="2">
        <v>95.1</v>
      </c>
      <c r="D620" s="5">
        <v>99.75</v>
      </c>
    </row>
    <row r="621" spans="1:4" x14ac:dyDescent="0.35">
      <c r="A621" s="1">
        <f>DATE(2022, 5, 13)</f>
        <v>44694</v>
      </c>
      <c r="B621" s="2">
        <v>91.37</v>
      </c>
      <c r="C621" s="2">
        <v>95.33</v>
      </c>
      <c r="D621" s="5">
        <v>99.96</v>
      </c>
    </row>
    <row r="622" spans="1:4" x14ac:dyDescent="0.35">
      <c r="A622" s="1">
        <f>DATE(2022, 5, 16)</f>
        <v>44697</v>
      </c>
      <c r="B622" s="2">
        <v>92.47</v>
      </c>
      <c r="C622" s="2">
        <v>96.48</v>
      </c>
      <c r="D622" s="5">
        <v>101.1</v>
      </c>
    </row>
    <row r="623" spans="1:4" x14ac:dyDescent="0.35">
      <c r="A623" s="1">
        <f>DATE(2022, 5, 17)</f>
        <v>44698</v>
      </c>
      <c r="B623" s="2">
        <v>94.75</v>
      </c>
      <c r="C623" s="2">
        <v>98.84</v>
      </c>
      <c r="D623" s="5">
        <v>103.49</v>
      </c>
    </row>
    <row r="624" spans="1:4" x14ac:dyDescent="0.35">
      <c r="A624" s="1">
        <f>DATE(2022, 5, 18)</f>
        <v>44699</v>
      </c>
      <c r="B624" s="2">
        <v>87.81</v>
      </c>
      <c r="C624" s="2">
        <v>92.08</v>
      </c>
      <c r="D624" s="5">
        <v>96.9</v>
      </c>
    </row>
    <row r="625" spans="1:4" x14ac:dyDescent="0.35">
      <c r="A625" s="1">
        <f>DATE(2022, 5, 19)</f>
        <v>44700</v>
      </c>
      <c r="B625" s="2">
        <v>86.21</v>
      </c>
      <c r="C625" s="2">
        <v>90.49</v>
      </c>
      <c r="D625" s="5">
        <v>95.45</v>
      </c>
    </row>
    <row r="626" spans="1:4" x14ac:dyDescent="0.35">
      <c r="A626" s="1">
        <f>DATE(2022, 5, 20)</f>
        <v>44701</v>
      </c>
      <c r="B626" s="2">
        <v>83.33</v>
      </c>
      <c r="C626" s="2">
        <v>87.62</v>
      </c>
      <c r="D626" s="5">
        <v>92.63</v>
      </c>
    </row>
    <row r="627" spans="1:4" x14ac:dyDescent="0.35">
      <c r="A627" s="1">
        <f>DATE(2022, 5, 23)</f>
        <v>44704</v>
      </c>
      <c r="B627" s="2">
        <v>81.010000000000005</v>
      </c>
      <c r="C627" s="2">
        <v>85.28</v>
      </c>
      <c r="D627" s="5">
        <v>90.26</v>
      </c>
    </row>
    <row r="628" spans="1:4" x14ac:dyDescent="0.35">
      <c r="A628" s="1">
        <f>DATE(2022, 5, 24)</f>
        <v>44705</v>
      </c>
      <c r="B628" s="2">
        <v>84.26</v>
      </c>
      <c r="C628" s="2">
        <v>88.53</v>
      </c>
      <c r="D628" s="5">
        <v>93.53</v>
      </c>
    </row>
    <row r="629" spans="1:4" x14ac:dyDescent="0.35">
      <c r="A629" s="1">
        <f>DATE(2022, 5, 25)</f>
        <v>44706</v>
      </c>
      <c r="B629" s="2">
        <v>84.39</v>
      </c>
      <c r="C629" s="2">
        <v>88.69</v>
      </c>
      <c r="D629" s="5">
        <v>93.61</v>
      </c>
    </row>
    <row r="630" spans="1:4" x14ac:dyDescent="0.35">
      <c r="A630" s="1">
        <f>DATE(2022, 5, 26)</f>
        <v>44707</v>
      </c>
      <c r="B630" s="2">
        <v>87.66</v>
      </c>
      <c r="C630" s="2">
        <v>91.91</v>
      </c>
      <c r="D630" s="5">
        <v>96.89</v>
      </c>
    </row>
    <row r="631" spans="1:4" x14ac:dyDescent="0.35">
      <c r="A631" s="1">
        <f>DATE(2022, 5, 27)</f>
        <v>44708</v>
      </c>
      <c r="B631" s="2">
        <v>87.06</v>
      </c>
      <c r="C631" s="2">
        <v>91.34</v>
      </c>
      <c r="D631" s="5">
        <v>96.32</v>
      </c>
    </row>
    <row r="632" spans="1:4" x14ac:dyDescent="0.35">
      <c r="A632" s="1">
        <f>DATE(2022, 5, 30)</f>
        <v>44711</v>
      </c>
      <c r="B632" s="2">
        <v>86.86</v>
      </c>
      <c r="C632" s="2">
        <v>91.14</v>
      </c>
      <c r="D632" s="5">
        <v>96.03</v>
      </c>
    </row>
    <row r="633" spans="1:4" x14ac:dyDescent="0.35">
      <c r="A633" s="1">
        <f>DATE(2022, 5, 31)</f>
        <v>44712</v>
      </c>
      <c r="B633" s="2">
        <v>86.9</v>
      </c>
      <c r="C633" s="2">
        <v>91.18</v>
      </c>
      <c r="D633" s="5">
        <v>96.11</v>
      </c>
    </row>
    <row r="634" spans="1:4" x14ac:dyDescent="0.35">
      <c r="A634" s="1">
        <f>DATE(2022, 6, 1)</f>
        <v>44713</v>
      </c>
      <c r="B634" s="2">
        <v>88.92</v>
      </c>
      <c r="C634" s="2">
        <v>93.28</v>
      </c>
      <c r="D634" s="5">
        <v>98.26</v>
      </c>
    </row>
    <row r="635" spans="1:4" x14ac:dyDescent="0.35">
      <c r="A635" s="1">
        <f>DATE(2022, 6, 2)</f>
        <v>44714</v>
      </c>
      <c r="B635" s="2">
        <v>89.18</v>
      </c>
      <c r="C635" s="2">
        <v>93.54</v>
      </c>
      <c r="D635" s="5">
        <v>98.52</v>
      </c>
    </row>
    <row r="636" spans="1:4" x14ac:dyDescent="0.35">
      <c r="A636" s="1">
        <f>DATE(2022, 6, 3)</f>
        <v>44715</v>
      </c>
      <c r="B636" s="2">
        <v>89.72</v>
      </c>
      <c r="C636" s="2">
        <v>94.08</v>
      </c>
      <c r="D636" s="5">
        <v>99.06</v>
      </c>
    </row>
    <row r="637" spans="1:4" x14ac:dyDescent="0.35">
      <c r="A637" s="1">
        <f>DATE(2022, 6, 6)</f>
        <v>44718</v>
      </c>
      <c r="B637" s="2">
        <v>84.24</v>
      </c>
      <c r="C637" s="2">
        <v>88.58</v>
      </c>
      <c r="D637" s="5">
        <v>93.56</v>
      </c>
    </row>
    <row r="638" spans="1:4" x14ac:dyDescent="0.35">
      <c r="A638" s="1">
        <f>DATE(2022, 6, 7)</f>
        <v>44719</v>
      </c>
      <c r="B638" s="2">
        <v>84.09</v>
      </c>
      <c r="C638" s="2">
        <v>88.38</v>
      </c>
      <c r="D638" s="5">
        <v>93.36</v>
      </c>
    </row>
    <row r="639" spans="1:4" x14ac:dyDescent="0.35">
      <c r="A639" s="1">
        <f>DATE(2022, 6, 8)</f>
        <v>44720</v>
      </c>
      <c r="B639" s="2">
        <v>82.55</v>
      </c>
      <c r="C639" s="2">
        <v>86.88</v>
      </c>
      <c r="D639" s="5">
        <v>91.89</v>
      </c>
    </row>
    <row r="640" spans="1:4" x14ac:dyDescent="0.35">
      <c r="A640" s="1">
        <f>DATE(2022, 6, 9)</f>
        <v>44721</v>
      </c>
      <c r="B640" s="2">
        <v>83.8</v>
      </c>
      <c r="C640" s="2">
        <v>88.09</v>
      </c>
      <c r="D640" s="5">
        <v>93.11</v>
      </c>
    </row>
    <row r="641" spans="1:4" x14ac:dyDescent="0.35">
      <c r="A641" s="1">
        <f>DATE(2022, 6, 10)</f>
        <v>44722</v>
      </c>
      <c r="B641" s="2">
        <v>84.75</v>
      </c>
      <c r="C641" s="2">
        <v>89.1</v>
      </c>
      <c r="D641" s="5">
        <v>94.14</v>
      </c>
    </row>
    <row r="642" spans="1:4" x14ac:dyDescent="0.35">
      <c r="A642" s="1">
        <f>DATE(2022, 6, 13)</f>
        <v>44725</v>
      </c>
      <c r="B642" s="2">
        <v>84.49</v>
      </c>
      <c r="C642" s="2">
        <v>88.96</v>
      </c>
      <c r="D642" s="5">
        <v>94.03</v>
      </c>
    </row>
    <row r="643" spans="1:4" x14ac:dyDescent="0.35">
      <c r="A643" s="1">
        <f>DATE(2022, 6, 14)</f>
        <v>44726</v>
      </c>
      <c r="B643" s="2">
        <v>87.24</v>
      </c>
      <c r="C643" s="2">
        <v>92.01</v>
      </c>
      <c r="D643" s="5">
        <v>97.31</v>
      </c>
    </row>
    <row r="644" spans="1:4" x14ac:dyDescent="0.35">
      <c r="A644" s="1">
        <f>DATE(2022, 6, 15)</f>
        <v>44727</v>
      </c>
      <c r="B644" s="2">
        <v>89.42</v>
      </c>
      <c r="C644" s="2">
        <v>94.49</v>
      </c>
      <c r="D644" s="5">
        <v>99.94</v>
      </c>
    </row>
    <row r="645" spans="1:4" x14ac:dyDescent="0.35">
      <c r="A645" s="1">
        <f>DATE(2022, 6, 16)</f>
        <v>44728</v>
      </c>
      <c r="B645" s="2">
        <v>86.2</v>
      </c>
      <c r="C645" s="2">
        <v>91.34</v>
      </c>
      <c r="D645" s="5">
        <v>96.93</v>
      </c>
    </row>
    <row r="646" spans="1:4" x14ac:dyDescent="0.35">
      <c r="A646" s="1">
        <f>DATE(2022, 6, 17)</f>
        <v>44729</v>
      </c>
      <c r="B646" s="2">
        <v>85.57</v>
      </c>
      <c r="C646" s="2">
        <v>90.7</v>
      </c>
      <c r="D646" s="5">
        <v>96.37</v>
      </c>
    </row>
    <row r="647" spans="1:4" x14ac:dyDescent="0.35">
      <c r="A647" s="1">
        <f>DATE(2022, 6, 20)</f>
        <v>44732</v>
      </c>
      <c r="B647" s="2">
        <v>87.36</v>
      </c>
      <c r="C647" s="2">
        <v>92.63</v>
      </c>
      <c r="D647" s="5">
        <v>98.46</v>
      </c>
    </row>
    <row r="648" spans="1:4" x14ac:dyDescent="0.35">
      <c r="A648" s="1">
        <f>DATE(2022, 6, 21)</f>
        <v>44733</v>
      </c>
      <c r="B648" s="2">
        <v>88.13</v>
      </c>
      <c r="C648" s="2">
        <v>93.63</v>
      </c>
      <c r="D648" s="5">
        <v>99.49</v>
      </c>
    </row>
    <row r="649" spans="1:4" x14ac:dyDescent="0.35">
      <c r="A649" s="1">
        <f>DATE(2022, 6, 22)</f>
        <v>44734</v>
      </c>
      <c r="B649" s="2">
        <v>85.24</v>
      </c>
      <c r="C649" s="2">
        <v>90.72</v>
      </c>
      <c r="D649" s="5">
        <v>96.61</v>
      </c>
    </row>
    <row r="650" spans="1:4" x14ac:dyDescent="0.35">
      <c r="A650" s="1">
        <f>DATE(2022, 6, 23)</f>
        <v>44735</v>
      </c>
      <c r="B650" s="2">
        <v>87.33</v>
      </c>
      <c r="C650" s="2">
        <v>93.09</v>
      </c>
      <c r="D650" s="5">
        <v>99.13</v>
      </c>
    </row>
    <row r="651" spans="1:4" x14ac:dyDescent="0.35">
      <c r="A651" s="1">
        <f>DATE(2022, 6, 24)</f>
        <v>44736</v>
      </c>
      <c r="B651" s="2">
        <v>86.36</v>
      </c>
      <c r="C651" s="2">
        <v>92.18</v>
      </c>
      <c r="D651" s="5">
        <v>98.46</v>
      </c>
    </row>
    <row r="652" spans="1:4" x14ac:dyDescent="0.35">
      <c r="A652" s="1">
        <f>DATE(2022, 6, 27)</f>
        <v>44739</v>
      </c>
      <c r="B652" s="2">
        <v>87.82</v>
      </c>
      <c r="C652" s="2">
        <v>93.72</v>
      </c>
      <c r="D652" s="5">
        <v>100.47</v>
      </c>
    </row>
    <row r="653" spans="1:4" x14ac:dyDescent="0.35">
      <c r="A653" s="1">
        <f>DATE(2022, 6, 28)</f>
        <v>44740</v>
      </c>
      <c r="B653" s="2">
        <v>90.26</v>
      </c>
      <c r="C653" s="2">
        <v>96.27</v>
      </c>
      <c r="D653" s="5">
        <v>103.57</v>
      </c>
    </row>
    <row r="654" spans="1:4" x14ac:dyDescent="0.35">
      <c r="A654" s="1">
        <f>DATE(2022, 6, 29)</f>
        <v>44741</v>
      </c>
      <c r="B654" s="2">
        <v>91.23</v>
      </c>
      <c r="C654" s="2">
        <v>97.34</v>
      </c>
      <c r="D654" s="5">
        <v>104.97</v>
      </c>
    </row>
    <row r="655" spans="1:4" x14ac:dyDescent="0.35">
      <c r="A655" s="1">
        <f>DATE(2022, 6, 30)</f>
        <v>44742</v>
      </c>
      <c r="B655" s="2">
        <v>92.94</v>
      </c>
      <c r="C655" s="2">
        <v>99.01</v>
      </c>
      <c r="D655" s="5">
        <v>106.7</v>
      </c>
    </row>
    <row r="656" spans="1:4" x14ac:dyDescent="0.35">
      <c r="A656" s="1">
        <f>DATE(2022, 7, 1)</f>
        <v>44743</v>
      </c>
      <c r="B656" s="2">
        <v>88.12</v>
      </c>
      <c r="C656" s="2">
        <v>93.59</v>
      </c>
      <c r="D656" s="5">
        <v>101.14</v>
      </c>
    </row>
    <row r="657" spans="1:4" x14ac:dyDescent="0.35">
      <c r="A657" s="1">
        <f>DATE(2022, 7, 4)</f>
        <v>44746</v>
      </c>
      <c r="B657" s="2">
        <v>87.26</v>
      </c>
      <c r="C657" s="2">
        <v>93.09</v>
      </c>
      <c r="D657" s="5">
        <v>100.22</v>
      </c>
    </row>
    <row r="658" spans="1:4" x14ac:dyDescent="0.35">
      <c r="A658" s="1">
        <f>DATE(2022, 7, 5)</f>
        <v>44747</v>
      </c>
      <c r="B658" s="2">
        <v>85.8</v>
      </c>
      <c r="C658" s="2">
        <v>91.49</v>
      </c>
      <c r="D658" s="5">
        <v>98.61</v>
      </c>
    </row>
    <row r="659" spans="1:4" x14ac:dyDescent="0.35">
      <c r="A659" s="1">
        <f>DATE(2022, 7, 6)</f>
        <v>44748</v>
      </c>
      <c r="B659" s="2">
        <v>85.82</v>
      </c>
      <c r="C659" s="2">
        <v>91.75</v>
      </c>
      <c r="D659" s="5">
        <v>98.75</v>
      </c>
    </row>
    <row r="660" spans="1:4" x14ac:dyDescent="0.35">
      <c r="A660" s="1">
        <f>DATE(2022, 7, 7)</f>
        <v>44749</v>
      </c>
      <c r="B660" s="2">
        <v>87.81</v>
      </c>
      <c r="C660" s="2">
        <v>93.68</v>
      </c>
      <c r="D660" s="5">
        <v>100.88</v>
      </c>
    </row>
    <row r="661" spans="1:4" x14ac:dyDescent="0.35">
      <c r="A661" s="1">
        <f>DATE(2022, 7, 8)</f>
        <v>44750</v>
      </c>
      <c r="B661" s="2">
        <v>85.51</v>
      </c>
      <c r="C661" s="2">
        <v>91.26</v>
      </c>
      <c r="D661" s="5">
        <v>98.48</v>
      </c>
    </row>
    <row r="662" spans="1:4" x14ac:dyDescent="0.35">
      <c r="A662" s="1">
        <f>DATE(2022, 7, 11)</f>
        <v>44753</v>
      </c>
      <c r="B662" s="2">
        <v>87.1</v>
      </c>
      <c r="C662" s="2">
        <v>92.9</v>
      </c>
      <c r="D662" s="5">
        <v>100.08</v>
      </c>
    </row>
    <row r="663" spans="1:4" x14ac:dyDescent="0.35">
      <c r="A663" s="1">
        <f>DATE(2022, 7, 12)</f>
        <v>44754</v>
      </c>
      <c r="B663" s="2">
        <v>88.33</v>
      </c>
      <c r="C663" s="2">
        <v>94.12</v>
      </c>
      <c r="D663" s="5">
        <v>101.28</v>
      </c>
    </row>
    <row r="664" spans="1:4" x14ac:dyDescent="0.35">
      <c r="A664" s="1">
        <f>DATE(2022, 7, 13)</f>
        <v>44755</v>
      </c>
      <c r="B664" s="2">
        <v>86.55</v>
      </c>
      <c r="C664" s="2">
        <v>92.22</v>
      </c>
      <c r="D664" s="5">
        <v>99.28</v>
      </c>
    </row>
    <row r="665" spans="1:4" x14ac:dyDescent="0.35">
      <c r="A665" s="1">
        <f>DATE(2022, 7, 14)</f>
        <v>44756</v>
      </c>
      <c r="B665" s="2">
        <v>86.74</v>
      </c>
      <c r="C665" s="2">
        <v>92.43</v>
      </c>
      <c r="D665" s="5">
        <v>99.73</v>
      </c>
    </row>
    <row r="666" spans="1:4" x14ac:dyDescent="0.35">
      <c r="A666" s="1">
        <f>DATE(2022, 7, 15)</f>
        <v>44757</v>
      </c>
      <c r="B666" s="2">
        <v>88.12</v>
      </c>
      <c r="C666" s="2">
        <v>93.77</v>
      </c>
      <c r="D666" s="5">
        <v>101.05</v>
      </c>
    </row>
    <row r="667" spans="1:4" x14ac:dyDescent="0.35">
      <c r="A667" s="1">
        <f>DATE(2022, 7, 18)</f>
        <v>44760</v>
      </c>
      <c r="B667" s="2">
        <v>87.7</v>
      </c>
      <c r="C667" s="2">
        <v>93.3</v>
      </c>
      <c r="D667" s="5">
        <v>100.6</v>
      </c>
    </row>
    <row r="668" spans="1:4" x14ac:dyDescent="0.35">
      <c r="A668" s="1">
        <f>DATE(2022, 7, 19)</f>
        <v>44761</v>
      </c>
      <c r="B668" s="2">
        <v>86.48</v>
      </c>
      <c r="C668" s="2">
        <v>92.04</v>
      </c>
      <c r="D668" s="5">
        <v>99.38</v>
      </c>
    </row>
    <row r="669" spans="1:4" x14ac:dyDescent="0.35">
      <c r="A669" s="1">
        <f>DATE(2022, 7, 20)</f>
        <v>44762</v>
      </c>
      <c r="B669" s="2">
        <v>81.599999999999994</v>
      </c>
      <c r="C669" s="2">
        <v>87.1</v>
      </c>
      <c r="D669" s="5">
        <v>94.41</v>
      </c>
    </row>
    <row r="670" spans="1:4" x14ac:dyDescent="0.35">
      <c r="A670" s="1">
        <f>DATE(2022, 7, 21)</f>
        <v>44763</v>
      </c>
      <c r="B670" s="2">
        <v>80.88</v>
      </c>
      <c r="C670" s="2">
        <v>86.37</v>
      </c>
      <c r="D670" s="5">
        <v>93.67</v>
      </c>
    </row>
    <row r="671" spans="1:4" x14ac:dyDescent="0.35">
      <c r="A671" s="1">
        <f>DATE(2022, 7, 22)</f>
        <v>44764</v>
      </c>
      <c r="B671" s="2">
        <v>78.87</v>
      </c>
      <c r="C671" s="2">
        <v>84.07</v>
      </c>
      <c r="D671" s="5">
        <v>91.37</v>
      </c>
    </row>
    <row r="672" spans="1:4" x14ac:dyDescent="0.35">
      <c r="A672" s="1">
        <f>DATE(2022, 7, 25)</f>
        <v>44767</v>
      </c>
      <c r="B672" s="2">
        <v>78.81</v>
      </c>
      <c r="C672" s="2">
        <v>83.87</v>
      </c>
      <c r="D672" s="5">
        <v>91.17</v>
      </c>
    </row>
    <row r="673" spans="1:4" x14ac:dyDescent="0.35">
      <c r="A673" s="1">
        <f>DATE(2022, 7, 26)</f>
        <v>44768</v>
      </c>
      <c r="B673" s="2">
        <v>79.11</v>
      </c>
      <c r="C673" s="2">
        <v>83.62</v>
      </c>
      <c r="D673" s="5">
        <v>90.52</v>
      </c>
    </row>
    <row r="674" spans="1:4" x14ac:dyDescent="0.35">
      <c r="A674" s="1">
        <f>DATE(2022, 7, 27)</f>
        <v>44769</v>
      </c>
      <c r="B674" s="2">
        <v>78.56</v>
      </c>
      <c r="C674" s="2">
        <v>82.96</v>
      </c>
      <c r="D674" s="5">
        <v>89.71</v>
      </c>
    </row>
    <row r="675" spans="1:4" x14ac:dyDescent="0.35">
      <c r="A675" s="1">
        <f>DATE(2022, 7, 28)</f>
        <v>44770</v>
      </c>
      <c r="B675" s="2">
        <v>81.28</v>
      </c>
      <c r="C675" s="2">
        <v>85.5</v>
      </c>
      <c r="D675" s="5">
        <v>92.11</v>
      </c>
    </row>
    <row r="676" spans="1:4" x14ac:dyDescent="0.35">
      <c r="A676" s="1">
        <f>DATE(2022, 7, 29)</f>
        <v>44771</v>
      </c>
      <c r="B676" s="2">
        <v>80.78</v>
      </c>
      <c r="C676" s="2">
        <v>84.34</v>
      </c>
      <c r="D676" s="5">
        <v>90.43</v>
      </c>
    </row>
    <row r="677" spans="1:4" x14ac:dyDescent="0.35">
      <c r="A677" s="1">
        <f>DATE(2022, 8, 1)</f>
        <v>44774</v>
      </c>
      <c r="B677" s="2">
        <v>82.79</v>
      </c>
      <c r="C677" s="2">
        <v>86.41</v>
      </c>
      <c r="D677" s="5">
        <v>92.25</v>
      </c>
    </row>
    <row r="678" spans="1:4" x14ac:dyDescent="0.35">
      <c r="A678" s="1">
        <f>DATE(2022, 8, 2)</f>
        <v>44775</v>
      </c>
      <c r="B678" s="2">
        <v>84.23</v>
      </c>
      <c r="C678" s="2">
        <v>87.94</v>
      </c>
      <c r="D678" s="5">
        <v>93.57</v>
      </c>
    </row>
    <row r="679" spans="1:4" x14ac:dyDescent="0.35">
      <c r="A679" s="1">
        <f>DATE(2022, 8, 3)</f>
        <v>44776</v>
      </c>
      <c r="B679" s="2">
        <f>IF(ISERROR(_xll.Storm.ExcelMacros.GvDaily("/E.FEUAZ23", "Close", A679, , , , , "#", , , , , "/E.FEUAZ23", "Hundredths", , FALSE, )), 86.3, _xll.Storm.ExcelMacros.GvDaily("/E.FEUAZ23", "Close", A679, , , , , "#", , , , , "/E.FEUAZ23", "Hundredths", , FALSE, ))</f>
        <v>86.3</v>
      </c>
      <c r="C679" s="2">
        <f>IF(ISERROR(_xll.Storm.ExcelMacros.GvDaily("/E.FEUAZ24", "Close", A679, , , , , "#", , , , , "/E.FEUAZ24", "Hundredths", , FALSE, )), 90.07, _xll.Storm.ExcelMacros.GvDaily("/E.FEUAZ24", "Close", A679, , , , , "#", , , , , "/E.FEUAZ24", "Hundredths", , FALSE, ))</f>
        <v>90.070000000000007</v>
      </c>
      <c r="D679" s="5">
        <v>95.85</v>
      </c>
    </row>
    <row r="680" spans="1:4" x14ac:dyDescent="0.35">
      <c r="A680" s="1">
        <f>DATE(2022, 8, 4)</f>
        <v>44777</v>
      </c>
      <c r="B680" s="2">
        <f>IF(ISERROR(_xll.Storm.ExcelMacros.GvDaily("/E.FEUAZ23", "Close", A680, , , , , "#", , , , , "/E.FEUAZ23", "Hundredths", , FALSE, )), 86.56, _xll.Storm.ExcelMacros.GvDaily("/E.FEUAZ23", "Close", A680, , , , , "#", , , , , "/E.FEUAZ23", "Hundredths", , FALSE, ))</f>
        <v>86.56</v>
      </c>
      <c r="C680" s="2">
        <f>IF(ISERROR(_xll.Storm.ExcelMacros.GvDaily("/E.FEUAZ24", "Close", A680, , , , , "#", , , , , "/E.FEUAZ24", "Hundredths", , FALSE, )), 90.35, _xll.Storm.ExcelMacros.GvDaily("/E.FEUAZ24", "Close", A680, , , , , "#", , , , , "/E.FEUAZ24", "Hundredths", , FALSE, ))</f>
        <v>90.350000000000009</v>
      </c>
      <c r="D680" s="5">
        <v>96.05</v>
      </c>
    </row>
    <row r="681" spans="1:4" x14ac:dyDescent="0.35">
      <c r="A681" s="1">
        <f>DATE(2022, 8, 5)</f>
        <v>44778</v>
      </c>
      <c r="B681" s="2">
        <f>IF(ISERROR(_xll.Storm.ExcelMacros.GvDaily("/E.FEUAZ23", "Close", A681, , , , , "#", , , , , "/E.FEUAZ23", "Hundredths", , FALSE, )), 87.16, _xll.Storm.ExcelMacros.GvDaily("/E.FEUAZ23", "Close", A681, , , , , "#", , , , , "/E.FEUAZ23", "Hundredths", , FALSE, ))</f>
        <v>87.16</v>
      </c>
      <c r="C681" s="2">
        <f>IF(ISERROR(_xll.Storm.ExcelMacros.GvDaily("/E.FEUAZ24", "Close", A681, , , , , "#", , , , , "/E.FEUAZ24", "Hundredths", , FALSE, )), 91.03, _xll.Storm.ExcelMacros.GvDaily("/E.FEUAZ24", "Close", A681, , , , , "#", , , , , "/E.FEUAZ24", "Hundredths", , FALSE, ))</f>
        <v>91.03</v>
      </c>
      <c r="D681" s="5">
        <v>96.73</v>
      </c>
    </row>
    <row r="682" spans="1:4" x14ac:dyDescent="0.35">
      <c r="A682" s="1">
        <f>DATE(2022, 8, 8)</f>
        <v>44781</v>
      </c>
      <c r="B682" s="2">
        <f>IF(ISERROR(_xll.Storm.ExcelMacros.GvDaily("/E.FEUAZ23", "Close", A682, , , , , "#", , , , , "/E.FEUAZ23", "Hundredths", , FALSE, )), 86.22, _xll.Storm.ExcelMacros.GvDaily("/E.FEUAZ23", "Close", A682, , , , , "#", , , , , "/E.FEUAZ23", "Hundredths", , FALSE, ))</f>
        <v>86.22</v>
      </c>
      <c r="C682" s="2">
        <f>IF(ISERROR(_xll.Storm.ExcelMacros.GvDaily("/E.FEUAZ24", "Close", A682, , , , , "#", , , , , "/E.FEUAZ24", "Hundredths", , FALSE, )), 90.11, _xll.Storm.ExcelMacros.GvDaily("/E.FEUAZ24", "Close", A682, , , , , "#", , , , , "/E.FEUAZ24", "Hundredths", , FALSE, ))</f>
        <v>90.11</v>
      </c>
      <c r="D682" s="5">
        <v>95.85</v>
      </c>
    </row>
    <row r="683" spans="1:4" x14ac:dyDescent="0.35">
      <c r="A683" s="1">
        <f>DATE(2022, 8, 9)</f>
        <v>44782</v>
      </c>
      <c r="B683" s="2">
        <f>IF(ISERROR(_xll.Storm.ExcelMacros.GvDaily("/E.FEUAZ23", "Close", A683, , , , , "#", , , , , "/E.FEUAZ23", "Hundredths", , FALSE, )), 88.43, _xll.Storm.ExcelMacros.GvDaily("/E.FEUAZ23", "Close", A683, , , , , "#", , , , , "/E.FEUAZ23", "Hundredths", , FALSE, ))</f>
        <v>88.43</v>
      </c>
      <c r="C683" s="2">
        <f>IF(ISERROR(_xll.Storm.ExcelMacros.GvDaily("/E.FEUAZ24", "Close", A683, , , , , "#", , , , , "/E.FEUAZ24", "Hundredths", , FALSE, )), 92.49, _xll.Storm.ExcelMacros.GvDaily("/E.FEUAZ24", "Close", A683, , , , , "#", , , , , "/E.FEUAZ24", "Hundredths", , FALSE, ))</f>
        <v>92.49</v>
      </c>
      <c r="D683" s="5">
        <v>98.39</v>
      </c>
    </row>
    <row r="684" spans="1:4" x14ac:dyDescent="0.35">
      <c r="A684" s="1">
        <f>DATE(2022, 8, 10)</f>
        <v>44783</v>
      </c>
      <c r="B684" s="2">
        <f>IF(ISERROR(_xll.Storm.ExcelMacros.GvDaily("/E.FEUAZ23", "Close", A684, , , , , "#", , , , , "/E.FEUAZ23", "Hundredths", , FALSE, )), 88.4, _xll.Storm.ExcelMacros.GvDaily("/E.FEUAZ23", "Close", A684, , , , , "#", , , , , "/E.FEUAZ23", "Hundredths", , FALSE, ))</f>
        <v>88.4</v>
      </c>
      <c r="C684" s="2">
        <f>IF(ISERROR(_xll.Storm.ExcelMacros.GvDaily("/E.FEUAZ24", "Close", A684, , , , , "#", , , , , "/E.FEUAZ24", "Hundredths", , FALSE, )), 92.49, _xll.Storm.ExcelMacros.GvDaily("/E.FEUAZ24", "Close", A684, , , , , "#", , , , , "/E.FEUAZ24", "Hundredths", , FALSE, ))</f>
        <v>92.49</v>
      </c>
      <c r="D684" s="5">
        <v>98.44</v>
      </c>
    </row>
    <row r="685" spans="1:4" x14ac:dyDescent="0.35">
      <c r="A685" s="1">
        <f>DATE(2022, 8, 11)</f>
        <v>44784</v>
      </c>
      <c r="B685" s="2">
        <f>IF(ISERROR(_xll.Storm.ExcelMacros.GvDaily("/E.FEUAZ23", "Close", A685, , , , , "#", , , , , "/E.FEUAZ23", "Hundredths", , FALSE, )), 90.04, _xll.Storm.ExcelMacros.GvDaily("/E.FEUAZ23", "Close", A685, , , , , "#", , , , , "/E.FEUAZ23", "Hundredths", , FALSE, ))</f>
        <v>90.04</v>
      </c>
      <c r="C685" s="2">
        <f>IF(ISERROR(_xll.Storm.ExcelMacros.GvDaily("/E.FEUAZ24", "Close", A685, , , , , "#", , , , , "/E.FEUAZ24", "Hundredths", , FALSE, )), 94.14, _xll.Storm.ExcelMacros.GvDaily("/E.FEUAZ24", "Close", A685, , , , , "#", , , , , "/E.FEUAZ24", "Hundredths", , FALSE, ))</f>
        <v>94.14</v>
      </c>
      <c r="D685" s="5">
        <v>100.06</v>
      </c>
    </row>
    <row r="686" spans="1:4" x14ac:dyDescent="0.35">
      <c r="A686" s="1">
        <f>DATE(2022, 8, 12)</f>
        <v>44785</v>
      </c>
      <c r="B686" s="2">
        <f>IF(ISERROR(_xll.Storm.ExcelMacros.GvDaily("/E.FEUAZ23", "Close", A686, , , , , "#", , , , , "/E.FEUAZ23", "Hundredths", , FALSE, )), 91.38, _xll.Storm.ExcelMacros.GvDaily("/E.FEUAZ23", "Close", A686, , , , , "#", , , , , "/E.FEUAZ23", "Hundredths", , FALSE, ))</f>
        <v>91.38</v>
      </c>
      <c r="C686" s="2">
        <f>IF(ISERROR(_xll.Storm.ExcelMacros.GvDaily("/E.FEUAZ24", "Close", A686, , , , , "#", , , , , "/E.FEUAZ24", "Hundredths", , FALSE, )), 95.57, _xll.Storm.ExcelMacros.GvDaily("/E.FEUAZ24", "Close", A686, , , , , "#", , , , , "/E.FEUAZ24", "Hundredths", , FALSE, ))</f>
        <v>95.570000000000007</v>
      </c>
      <c r="D686" s="5">
        <v>101.57</v>
      </c>
    </row>
    <row r="687" spans="1:4" x14ac:dyDescent="0.35">
      <c r="A687" s="1">
        <f>DATE(2022, 8, 15)</f>
        <v>44788</v>
      </c>
      <c r="B687" s="2">
        <f>IF(ISERROR(_xll.Storm.ExcelMacros.GvDaily("/E.FEUAZ23", "Close", A687, , , , , "#", , , , , "/E.FEUAZ23", "Hundredths", , FALSE, )), 93.42, _xll.Storm.ExcelMacros.GvDaily("/E.FEUAZ23", "Close", A687, , , , , "#", , , , , "/E.FEUAZ23", "Hundredths", , FALSE, ))</f>
        <v>93.42</v>
      </c>
      <c r="C687" s="2">
        <f>IF(ISERROR(_xll.Storm.ExcelMacros.GvDaily("/E.FEUAZ24", "Close", A687, , , , , "#", , , , , "/E.FEUAZ24", "Hundredths", , FALSE, )), 97.64, _xll.Storm.ExcelMacros.GvDaily("/E.FEUAZ24", "Close", A687, , , , , "#", , , , , "/E.FEUAZ24", "Hundredths", , FALSE, ))</f>
        <v>97.64</v>
      </c>
      <c r="D687" s="5">
        <v>103.93</v>
      </c>
    </row>
    <row r="688" spans="1:4" x14ac:dyDescent="0.35">
      <c r="A688" s="1">
        <f>DATE(2022, 8, 16)</f>
        <v>44789</v>
      </c>
      <c r="B688" s="2">
        <f>IF(ISERROR(_xll.Storm.ExcelMacros.GvDaily("/E.FEUAZ23", "Close", A688, , , , , "#", , , , , "/E.FEUAZ23", "Hundredths", , FALSE, )), 94.71, _xll.Storm.ExcelMacros.GvDaily("/E.FEUAZ23", "Close", A688, , , , , "#", , , , , "/E.FEUAZ23", "Hundredths", , FALSE, ))</f>
        <v>94.710000000000008</v>
      </c>
      <c r="C688" s="2">
        <f>IF(ISERROR(_xll.Storm.ExcelMacros.GvDaily("/E.FEUAZ24", "Close", A688, , , , , "#", , , , , "/E.FEUAZ24", "Hundredths", , FALSE, )), 98.96, _xll.Storm.ExcelMacros.GvDaily("/E.FEUAZ24", "Close", A688, , , , , "#", , , , , "/E.FEUAZ24", "Hundredths", , FALSE, ))</f>
        <v>98.960000000000008</v>
      </c>
      <c r="D688" s="5">
        <v>105.3</v>
      </c>
    </row>
    <row r="689" spans="1:4" x14ac:dyDescent="0.35">
      <c r="A689" s="1">
        <f>DATE(2022, 8, 17)</f>
        <v>44790</v>
      </c>
      <c r="B689" s="2">
        <f>IF(ISERROR(_xll.Storm.ExcelMacros.GvDaily("/E.FEUAZ23", "Close", A689, , , , , "#", , , , , "/E.FEUAZ23", "Hundredths", , FALSE, )), 98.57, _xll.Storm.ExcelMacros.GvDaily("/E.FEUAZ23", "Close", A689, , , , , "#", , , , , "/E.FEUAZ23", "Hundredths", , FALSE, ))</f>
        <v>98.570000000000007</v>
      </c>
      <c r="C689" s="2">
        <f>IF(ISERROR(_xll.Storm.ExcelMacros.GvDaily("/E.FEUAZ24", "Close", A689, , , , , "#", , , , , "/E.FEUAZ24", "Hundredths", , FALSE, )), 103.01, _xll.Storm.ExcelMacros.GvDaily("/E.FEUAZ24", "Close", A689, , , , , "#", , , , , "/E.FEUAZ24", "Hundredths", , FALSE, ))</f>
        <v>103.01</v>
      </c>
      <c r="D689" s="5">
        <v>109.61</v>
      </c>
    </row>
    <row r="690" spans="1:4" x14ac:dyDescent="0.35">
      <c r="A690" s="1">
        <f>DATE(2022, 8, 18)</f>
        <v>44791</v>
      </c>
      <c r="B690" s="2">
        <f>IF(ISERROR(_xll.Storm.ExcelMacros.GvDaily("/E.FEUAZ23", "Close", A690, , , , , "#", , , , , "/E.FEUAZ23", "Hundredths", , FALSE, )), 98.83, _xll.Storm.ExcelMacros.GvDaily("/E.FEUAZ23", "Close", A690, , , , , "#", , , , , "/E.FEUAZ23", "Hundredths", , FALSE, ))</f>
        <v>98.83</v>
      </c>
      <c r="C690" s="2">
        <f>IF(ISERROR(_xll.Storm.ExcelMacros.GvDaily("/E.FEUAZ24", "Close", A690, , , , , "#", , , , , "/E.FEUAZ24", "Hundredths", , FALSE, )), 103.43, _xll.Storm.ExcelMacros.GvDaily("/E.FEUAZ24", "Close", A690, , , , , "#", , , , , "/E.FEUAZ24", "Hundredths", , FALSE, ))</f>
        <v>103.43</v>
      </c>
      <c r="D690" s="5">
        <v>110.2</v>
      </c>
    </row>
    <row r="691" spans="1:4" x14ac:dyDescent="0.35">
      <c r="A691" s="1">
        <f>DATE(2022, 8, 19)</f>
        <v>44792</v>
      </c>
      <c r="B691" s="2">
        <f>IF(ISERROR(_xll.Storm.ExcelMacros.GvDaily("/E.FEUAZ23", "Close", A691, , , , , "#", , , , , "/E.FEUAZ23", "Hundredths", , FALSE, )), 100.8, _xll.Storm.ExcelMacros.GvDaily("/E.FEUAZ23", "Close", A691, , , , , "#", , , , , "/E.FEUAZ23", "Hundredths", , FALSE, ))</f>
        <v>100.8</v>
      </c>
      <c r="C691" s="2">
        <f>IF(ISERROR(_xll.Storm.ExcelMacros.GvDaily("/E.FEUAZ24", "Close", A691, , , , , "#", , , , , "/E.FEUAZ24", "Hundredths", , FALSE, )), 105.95, _xll.Storm.ExcelMacros.GvDaily("/E.FEUAZ24", "Close", A691, , , , , "#", , , , , "/E.FEUAZ24", "Hundredths", , FALSE, ))</f>
        <v>105.95</v>
      </c>
      <c r="D691" s="5">
        <v>113.2</v>
      </c>
    </row>
    <row r="692" spans="1:4" x14ac:dyDescent="0.35">
      <c r="A692" s="1">
        <f>DATE(2022, 8, 22)</f>
        <v>44795</v>
      </c>
      <c r="B692" s="2">
        <f>IF(ISERROR(_xll.Storm.ExcelMacros.GvDaily("/E.FEUAZ23", "Close", A692, , , , , "#", , , , , "/E.FEUAZ23", "Hundredths", , FALSE, )), 94.95, _xll.Storm.ExcelMacros.GvDaily("/E.FEUAZ23", "Close", A692, , , , , "#", , , , , "/E.FEUAZ23", "Hundredths", , FALSE, ))</f>
        <v>94.95</v>
      </c>
      <c r="C692" s="2">
        <f>IF(ISERROR(_xll.Storm.ExcelMacros.GvDaily("/E.FEUAZ24", "Close", A692, , , , , "#", , , , , "/E.FEUAZ24", "Hundredths", , FALSE, )), 99.85, _xll.Storm.ExcelMacros.GvDaily("/E.FEUAZ24", "Close", A692, , , , , "#", , , , , "/E.FEUAZ24", "Hundredths", , FALSE, ))</f>
        <v>99.850000000000009</v>
      </c>
      <c r="D692" s="5">
        <v>106.79</v>
      </c>
    </row>
    <row r="693" spans="1:4" x14ac:dyDescent="0.35">
      <c r="A693" s="1">
        <f>DATE(2022, 8, 23)</f>
        <v>44796</v>
      </c>
      <c r="B693" s="2">
        <f>IF(ISERROR(_xll.Storm.ExcelMacros.GvDaily("/E.FEUAZ23", "Close", A693, , , , , "#", , , , , "/E.FEUAZ23", "Hundredths", , FALSE, )), 92.1, _xll.Storm.ExcelMacros.GvDaily("/E.FEUAZ23", "Close", A693, , , , , "#", , , , , "/E.FEUAZ23", "Hundredths", , FALSE, ))</f>
        <v>92.100000000000009</v>
      </c>
      <c r="C693" s="2">
        <f>IF(ISERROR(_xll.Storm.ExcelMacros.GvDaily("/E.FEUAZ24", "Close", A693, , , , , "#", , , , , "/E.FEUAZ24", "Hundredths", , FALSE, )), 97.02, _xll.Storm.ExcelMacros.GvDaily("/E.FEUAZ24", "Close", A693, , , , , "#", , , , , "/E.FEUAZ24", "Hundredths", , FALSE, ))</f>
        <v>97.02</v>
      </c>
      <c r="D693" s="5">
        <v>103.91</v>
      </c>
    </row>
    <row r="694" spans="1:4" x14ac:dyDescent="0.35">
      <c r="A694" s="1">
        <f>DATE(2022, 8, 24)</f>
        <v>44797</v>
      </c>
      <c r="B694" s="2">
        <f>IF(ISERROR(_xll.Storm.ExcelMacros.GvDaily("/E.FEUAZ23", "Close", A694, , , , , "#", , , , , "/E.FEUAZ23", "Hundredths", , FALSE, )), 92.22, _xll.Storm.ExcelMacros.GvDaily("/E.FEUAZ23", "Close", A694, , , , , "#", , , , , "/E.FEUAZ23", "Hundredths", , FALSE, ))</f>
        <v>92.22</v>
      </c>
      <c r="C694" s="2">
        <f>IF(ISERROR(_xll.Storm.ExcelMacros.GvDaily("/E.FEUAZ24", "Close", A694, , , , , "#", , , , , "/E.FEUAZ24", "Hundredths", , FALSE, )), 97.22, _xll.Storm.ExcelMacros.GvDaily("/E.FEUAZ24", "Close", A694, , , , , "#", , , , , "/E.FEUAZ24", "Hundredths", , FALSE, ))</f>
        <v>97.22</v>
      </c>
      <c r="D694" s="5">
        <v>104.19</v>
      </c>
    </row>
    <row r="695" spans="1:4" x14ac:dyDescent="0.35">
      <c r="A695" s="1">
        <f>DATE(2022, 8, 25)</f>
        <v>44798</v>
      </c>
      <c r="B695" s="2">
        <f>IF(ISERROR(_xll.Storm.ExcelMacros.GvDaily("/E.FEUAZ23", "Close", A695, , , , , "#", , , , , "/E.FEUAZ23", "Hundredths", , FALSE, )), 92.33, _xll.Storm.ExcelMacros.GvDaily("/E.FEUAZ23", "Close", A695, , , , , "#", , , , , "/E.FEUAZ23", "Hundredths", , FALSE, ))</f>
        <v>92.33</v>
      </c>
      <c r="C695" s="2">
        <f>IF(ISERROR(_xll.Storm.ExcelMacros.GvDaily("/E.FEUAZ24", "Close", A695, , , , , "#", , , , , "/E.FEUAZ24", "Hundredths", , FALSE, )), 97.22, _xll.Storm.ExcelMacros.GvDaily("/E.FEUAZ24", "Close", A695, , , , , "#", , , , , "/E.FEUAZ24", "Hundredths", , FALSE, ))</f>
        <v>97.22</v>
      </c>
      <c r="D695" s="5">
        <v>104.12</v>
      </c>
    </row>
    <row r="696" spans="1:4" x14ac:dyDescent="0.35">
      <c r="A696" s="1">
        <f>DATE(2022, 8, 26)</f>
        <v>44799</v>
      </c>
      <c r="B696" s="2">
        <f>IF(ISERROR(_xll.Storm.ExcelMacros.GvDaily("/E.FEUAZ23", "Close", A696, , , , , "#", , , , , "/E.FEUAZ23", "Hundredths", , FALSE, )), 93.47, _xll.Storm.ExcelMacros.GvDaily("/E.FEUAZ23", "Close", A696, , , , , "#", , , , , "/E.FEUAZ23", "Hundredths", , FALSE, ))</f>
        <v>93.47</v>
      </c>
      <c r="C696">
        <v>98.45</v>
      </c>
      <c r="D696" s="5">
        <v>105.39</v>
      </c>
    </row>
    <row r="697" spans="1:4" x14ac:dyDescent="0.35">
      <c r="A697" s="1">
        <f>DATE(2022, 8, 29)</f>
        <v>44802</v>
      </c>
      <c r="B697" s="2">
        <v>90</v>
      </c>
      <c r="C697">
        <v>95.13</v>
      </c>
      <c r="D697" s="5">
        <v>102.1</v>
      </c>
    </row>
    <row r="698" spans="1:4" x14ac:dyDescent="0.35">
      <c r="A698" s="1">
        <f>DATE(2022, 8, 30)</f>
        <v>44803</v>
      </c>
      <c r="B698">
        <v>83.86</v>
      </c>
      <c r="C698">
        <v>88.88</v>
      </c>
      <c r="D698" s="5">
        <v>95.72</v>
      </c>
    </row>
    <row r="699" spans="1:4" x14ac:dyDescent="0.35">
      <c r="A699" s="1">
        <f>DATE(2022, 8, 31)</f>
        <v>44804</v>
      </c>
      <c r="B699" s="2">
        <f>IF(ISERROR(_xll.Storm.ExcelMacros.GvDaily("/E.FEUAZ23", "Close", A699, , , , , "#", , , , , "/E.FEUAZ23", "Hundredths", , FALSE, )), 83.11, _xll.Storm.ExcelMacros.GvDaily("/E.FEUAZ23", "Close", A699, , , , , "#", , , , , "/E.FEUAZ23", "Hundredths", , FALSE, ))</f>
        <v>83.11</v>
      </c>
      <c r="C699">
        <v>88.11</v>
      </c>
      <c r="D699" s="5">
        <v>94.87</v>
      </c>
    </row>
    <row r="700" spans="1:4" x14ac:dyDescent="0.35">
      <c r="A700" s="1">
        <f>DATE(2022, 9, 1)</f>
        <v>44805</v>
      </c>
      <c r="B700" s="2">
        <f>IF(ISERROR(_xll.Storm.ExcelMacros.GvDaily("/E.FEUAZ23", "Close", A700, , , , , "#", , , , , "/E.FEUAZ23", "Hundredths", , FALSE, )), 83.89, _xll.Storm.ExcelMacros.GvDaily("/E.FEUAZ23", "Close", A700, , , , , "#", , , , , "/E.FEUAZ23", "Hundredths", , FALSE, ))</f>
        <v>83.89</v>
      </c>
      <c r="C700" s="2">
        <v>88.8</v>
      </c>
      <c r="D700" s="5">
        <v>95.55</v>
      </c>
    </row>
    <row r="701" spans="1:4" x14ac:dyDescent="0.35">
      <c r="A701" s="1">
        <f>DATE(2022, 9, 2)</f>
        <v>44806</v>
      </c>
      <c r="B701" s="2">
        <f>IF(ISERROR(_xll.Storm.ExcelMacros.GvDaily("/E.FEUAZ23", "Close", A701, , , , , "#", , , , , "/E.FEUAZ23", "Hundredths", , FALSE, )), 80.92, _xll.Storm.ExcelMacros.GvDaily("/E.FEUAZ23", "Close", A701, , , , , "#", , , , , "/E.FEUAZ23", "Hundredths", , FALSE, ))</f>
        <v>80.92</v>
      </c>
      <c r="C701">
        <v>85.82</v>
      </c>
      <c r="D701" s="5">
        <v>92.6</v>
      </c>
    </row>
    <row r="702" spans="1:4" x14ac:dyDescent="0.35">
      <c r="A702" s="1">
        <f>DATE(2022, 9, 5)</f>
        <v>44809</v>
      </c>
      <c r="B702" s="2">
        <f>IF(ISERROR(_xll.Storm.ExcelMacros.GvDaily("/E.FEUAZ23", "Close", A702, , , , , "#", , , , , "/E.FEUAZ23", "Hundredths", , FALSE, )), 77.52, _xll.Storm.ExcelMacros.GvDaily("/E.FEUAZ23", "Close", A702, , , , , "#", , , , , "/E.FEUAZ23", "Hundredths", , FALSE, ))</f>
        <v>77.52</v>
      </c>
      <c r="C702">
        <v>82.49</v>
      </c>
      <c r="D702" s="5">
        <v>89.27</v>
      </c>
    </row>
    <row r="703" spans="1:4" x14ac:dyDescent="0.35">
      <c r="A703" s="1">
        <f>DATE(2022, 9, 6)</f>
        <v>44810</v>
      </c>
      <c r="B703" s="2">
        <f>IF(ISERROR(_xll.Storm.ExcelMacros.GvDaily("/E.FEUAZ23", "Close", A703, , , , , "#", , , , , "/E.FEUAZ23", "Hundredths", , FALSE, )), 75.8, _xll.Storm.ExcelMacros.GvDaily("/E.FEUAZ23", "Close", A703, , , , , "#", , , , , "/E.FEUAZ23", "Hundredths", , FALSE, ))</f>
        <v>72.8</v>
      </c>
      <c r="C703">
        <v>79.849999999999994</v>
      </c>
      <c r="D703" s="5">
        <v>84.99</v>
      </c>
    </row>
    <row r="704" spans="1:4" x14ac:dyDescent="0.35">
      <c r="A704" s="1">
        <f>DATE(2022, 9, 7)</f>
        <v>44811</v>
      </c>
      <c r="B704" s="2">
        <f>IF(ISERROR(_xll.Storm.ExcelMacros.GvDaily("/E.FEUAZ23", "Close", A704, , , , , "#", , , , , "/E.FEUAZ23", "Hundredths", , FALSE, )), 71.91, _xll.Storm.ExcelMacros.GvDaily("/E.FEUAZ23", "Close", A704, , , , , "#", , , , , "/E.FEUAZ23", "Hundredths", , FALSE, ))</f>
        <v>71.91</v>
      </c>
      <c r="C704" s="2">
        <f>IF(ISERROR(_xll.Storm.ExcelMacros.GvDaily("/E.FEUAZ24", "Close", A704, , , , , "#", , , , , "/E.FEUAZ24", "Hundredths", , FALSE, )), 76.87, _xll.Storm.ExcelMacros.GvDaily("/E.FEUAZ24", "Close", A704, , , , , "#", , , , , "/E.FEUAZ24", "Hundredths", , FALSE, ))</f>
        <v>76.87</v>
      </c>
      <c r="D704" s="5">
        <v>83.66</v>
      </c>
    </row>
    <row r="705" spans="1:5" x14ac:dyDescent="0.35">
      <c r="A705" s="1">
        <f>DATE(2022, 9, 8)</f>
        <v>44812</v>
      </c>
      <c r="B705" s="2">
        <f>IF(ISERROR(_xll.Storm.ExcelMacros.GvDaily("/E.FEUAZ23", "Close", A705, , , , , "#", , , , , "/E.FEUAZ23", "Hundredths", , FALSE, )), 69.76, _xll.Storm.ExcelMacros.GvDaily("/E.FEUAZ23", "Close", A705, , , , , "#", , , , , "/E.FEUAZ23", "Hundredths", , FALSE, ))</f>
        <v>69.760000000000005</v>
      </c>
      <c r="C705" s="2">
        <f>IF(ISERROR(_xll.Storm.ExcelMacros.GvDaily("/E.FEUAZ24", "Close", A705, , , , , "#", , , , , "/E.FEUAZ24", "Hundredths", , FALSE, )), 74.5, _xll.Storm.ExcelMacros.GvDaily("/E.FEUAZ24", "Close", A705, , , , , "#", , , , , "/E.FEUAZ24", "Hundredths", , FALSE, ))</f>
        <v>74.5</v>
      </c>
      <c r="D705" s="5">
        <v>80.95</v>
      </c>
    </row>
    <row r="706" spans="1:5" x14ac:dyDescent="0.35">
      <c r="A706" s="1">
        <f>DATE(2022, 9, 9)</f>
        <v>44813</v>
      </c>
      <c r="B706" s="2">
        <f>IF(ISERROR(_xll.Storm.ExcelMacros.GvDaily("/E.FEUAZ23", "Close", A706, , , , , "#", , , , , "/E.FEUAZ23", "Hundredths", , FALSE, )), 68.7, _xll.Storm.ExcelMacros.GvDaily("/E.FEUAZ23", "Close", A706, , , , , "#", , , , , "/E.FEUAZ23", "Hundredths", , FALSE, ))</f>
        <v>68.7</v>
      </c>
      <c r="C706" s="2">
        <f>IF(ISERROR(_xll.Storm.ExcelMacros.GvDaily("/E.FEUAZ24", "Close", A706, , , , , "#", , , , , "/E.FEUAZ24", "Hundredths", , FALSE, )), 73.25, _xll.Storm.ExcelMacros.GvDaily("/E.FEUAZ24", "Close", A706, , , , , "#", , , , , "/E.FEUAZ24", "Hundredths", , FALSE, ))</f>
        <v>73.25</v>
      </c>
      <c r="D706" s="5">
        <v>79.05</v>
      </c>
    </row>
    <row r="707" spans="1:5" x14ac:dyDescent="0.35">
      <c r="A707" s="1">
        <f>DATE(2022, 9, 12)</f>
        <v>44816</v>
      </c>
      <c r="B707" s="2">
        <f>IF(ISERROR(_xll.Storm.ExcelMacros.GvDaily("/E.FEUAZ23", "Close", A707, , , , , "#", , , , , "/E.FEUAZ23", "Hundredths", , FALSE, )), 74.48, _xll.Storm.ExcelMacros.GvDaily("/E.FEUAZ23", "Close", A707, , , , , "#", , , , , "/E.FEUAZ23", "Hundredths", , FALSE, ))</f>
        <v>74.48</v>
      </c>
      <c r="C707" s="2">
        <f>IF(ISERROR(_xll.Storm.ExcelMacros.GvDaily("/E.FEUAZ24", "Close", A707, , , , , "#", , , , , "/E.FEUAZ24", "Hundredths", , FALSE, )), 73.25, _xll.Storm.ExcelMacros.GvDaily("/E.FEUAZ24", "Close", A707, , , , , "#", , , , , "/E.FEUAZ24", "Hundredths", , FALSE, ))</f>
        <v>78.84</v>
      </c>
      <c r="D707" s="5">
        <v>84.75</v>
      </c>
      <c r="E707" s="4"/>
    </row>
    <row r="708" spans="1:5" x14ac:dyDescent="0.35">
      <c r="A708" s="1">
        <f>DATE(2022, 9, 13)</f>
        <v>44817</v>
      </c>
      <c r="B708" s="2">
        <f>IF(ISERROR(_xll.Storm.ExcelMacros.GvDaily("/E.FEUAZ23", "Close", A708, , , , , "#", , , , , "/E.FEUAZ23", "Hundredths", , FALSE, )), 72.41, _xll.Storm.ExcelMacros.GvDaily("/E.FEUAZ23", "Close", A708, , , , , "#", , , , , "/E.FEUAZ23", "Hundredths", , FALSE, ))</f>
        <v>72.41</v>
      </c>
      <c r="C708" s="2">
        <f>IF(ISERROR(_xll.Storm.ExcelMacros.GvDaily("/E.FEUAZ24", "Close", A708, , , , , "#", , , , , "/E.FEUAZ24", "Hundredths", , FALSE, )), 73.25, _xll.Storm.ExcelMacros.GvDaily("/E.FEUAZ24", "Close", A708, , , , , "#", , , , , "/E.FEUAZ24", "Hundredths", , FALSE, ))</f>
        <v>76.77</v>
      </c>
      <c r="D708" s="5">
        <v>82.76</v>
      </c>
      <c r="E708" s="4"/>
    </row>
    <row r="709" spans="1:5" x14ac:dyDescent="0.35">
      <c r="A709" s="1">
        <f>DATE(2022, 9, 14)</f>
        <v>44818</v>
      </c>
      <c r="B709" s="2">
        <f>IF(ISERROR(_xll.Storm.ExcelMacros.GvDaily("/E.FEUAZ23", "Close", A709, , , , , "#", , , , , "/E.FEUAZ23", "Hundredths", , FALSE, )), 75.3, _xll.Storm.ExcelMacros.GvDaily("/E.FEUAZ23", "Close", A709, , , , , "#", , , , , "/E.FEUAZ23", "Hundredths", , FALSE, ))</f>
        <v>75.3</v>
      </c>
      <c r="C709" s="2">
        <f>IF(ISERROR(_xll.Storm.ExcelMacros.GvDaily("/E.FEUAZ24", "Close", A709, , , , , "#", , , , , "/E.FEUAZ24", "Hundredths", , FALSE, )), 73.25, _xll.Storm.ExcelMacros.GvDaily("/E.FEUAZ24", "Close", A709, , , , , "#", , , , , "/E.FEUAZ24", "Hundredths", , FALSE, ))</f>
        <v>79.75</v>
      </c>
      <c r="D709" s="5">
        <v>85.81</v>
      </c>
      <c r="E709" s="4"/>
    </row>
    <row r="710" spans="1:5" x14ac:dyDescent="0.35">
      <c r="A710" s="1">
        <f>DATE(2022, 9, 15)</f>
        <v>44819</v>
      </c>
      <c r="B710" s="2">
        <f>IF(ISERROR(_xll.Storm.ExcelMacros.GvDaily("/E.FEUAZ23", "Close", A710, , , , , "#", , , , , "/E.FEUAZ23", "Hundredths", , FALSE, )), 74.65, _xll.Storm.ExcelMacros.GvDaily("/E.FEUAZ23", "Close", A710, , , , , "#", , , , , "/E.FEUAZ23", "Hundredths", , FALSE, ))</f>
        <v>74.650000000000006</v>
      </c>
      <c r="C710" s="2">
        <f>IF(ISERROR(_xll.Storm.ExcelMacros.GvDaily("/E.FEUAZ24", "Close", A710, , , , , "#", , , , , "/E.FEUAZ24", "Hundredths", , FALSE, )), 73.25, _xll.Storm.ExcelMacros.GvDaily("/E.FEUAZ24", "Close", A710, , , , , "#", , , , , "/E.FEUAZ24", "Hundredths", , FALSE, ))</f>
        <v>79.08</v>
      </c>
      <c r="D710" s="5">
        <v>84.99</v>
      </c>
      <c r="E710" s="4"/>
    </row>
    <row r="711" spans="1:5" x14ac:dyDescent="0.35">
      <c r="A711" s="1">
        <f>DATE(2022, 9, 16)</f>
        <v>44820</v>
      </c>
      <c r="B711" s="2">
        <f>IF(ISERROR(_xll.Storm.ExcelMacros.GvDaily("/E.FEUAZ23", "Close", A711, , , , , "#", , , , , "/E.FEUAZ23", "Hundredths", , FALSE, )), 76.16, _xll.Storm.ExcelMacros.GvDaily("/E.FEUAZ23", "Close", A711, , , , , "#", , , , , "/E.FEUAZ23", "Hundredths", , FALSE, ))</f>
        <v>76.16</v>
      </c>
      <c r="C711" s="2">
        <f>IF(ISERROR(_xll.Storm.ExcelMacros.GvDaily("/E.FEUAZ24", "Close", A711, , , , , "#", , , , , "/E.FEUAZ24", "Hundredths", , FALSE, )), 73.25, _xll.Storm.ExcelMacros.GvDaily("/E.FEUAZ24", "Close", A711, , , , , "#", , , , , "/E.FEUAZ24", "Hundredths", , FALSE, ))</f>
        <v>80.59</v>
      </c>
      <c r="D711" s="5">
        <v>86.45</v>
      </c>
      <c r="E711" s="4"/>
    </row>
    <row r="712" spans="1:5" x14ac:dyDescent="0.35">
      <c r="A712" s="1">
        <f>DATE(2022, 9, 19)</f>
        <v>44823</v>
      </c>
      <c r="B712" s="2">
        <f>IF(ISERROR(_xll.Storm.ExcelMacros.GvDaily("/E.FEUAZ23", "Close", A712, , , , , "#", , , , , "/E.FEUAZ23", "Hundredths", , FALSE, )), 74.05, _xll.Storm.ExcelMacros.GvDaily("/E.FEUAZ23", "Close", A712, , , , , "#", , , , , "/E.FEUAZ23", "Hundredths", , FALSE, ))</f>
        <v>74.05</v>
      </c>
      <c r="C712" s="2">
        <f>IF(ISERROR(_xll.Storm.ExcelMacros.GvDaily("/E.FEUAZ24", "Close", A712, , , , , "#", , , , , "/E.FEUAZ24", "Hundredths", , FALSE, )), 73.25, _xll.Storm.ExcelMacros.GvDaily("/E.FEUAZ24", "Close", A712, , , , , "#", , , , , "/E.FEUAZ24", "Hundredths", , FALSE, ))</f>
        <v>78.39</v>
      </c>
      <c r="D712" s="5">
        <v>84.2</v>
      </c>
    </row>
    <row r="713" spans="1:5" x14ac:dyDescent="0.35">
      <c r="A713" s="1">
        <f>DATE(2022, 9, 20)</f>
        <v>44824</v>
      </c>
      <c r="B713" s="2">
        <f>IF(ISERROR(_xll.Storm.ExcelMacros.GvDaily("/E.FEUAZ23", "Close", A713, , , , , "#", , , , , "/E.FEUAZ23", "Hundredths", , FALSE, )), 74.11, _xll.Storm.ExcelMacros.GvDaily("/E.FEUAZ23", "Close", A713, , , , , "#", , , , , "/E.FEUAZ23", "Hundredths", , FALSE, ))</f>
        <v>74.11</v>
      </c>
      <c r="C713" s="2">
        <f>IF(ISERROR(_xll.Storm.ExcelMacros.GvDaily("/E.FEUAZ24", "Close", A713, , , , , "#", , , , , "/E.FEUAZ24", "Hundredths", , FALSE, )), 78.51, _xll.Storm.ExcelMacros.GvDaily("/E.FEUAZ24", "Close", A713, , , , , "#", , , , , "/E.FEUAZ24", "Hundredths", , FALSE, ))</f>
        <v>78.510000000000005</v>
      </c>
      <c r="D713" s="5">
        <v>84.24</v>
      </c>
    </row>
    <row r="714" spans="1:5" x14ac:dyDescent="0.35">
      <c r="A714" s="1">
        <f>DATE(2022, 9, 21)</f>
        <v>44825</v>
      </c>
      <c r="B714" s="2">
        <f>IF(ISERROR(_xll.Storm.ExcelMacros.GvDaily("/E.FEUAZ23", "Close", A714, , , , , "#", , , , , "/E.FEUAZ23", "Hundredths", , FALSE, )), 72.76, _xll.Storm.ExcelMacros.GvDaily("/E.FEUAZ23", "Close", A714, , , , , "#", , , , , "/E.FEUAZ23", "Hundredths", , FALSE, ))</f>
        <v>72.760000000000005</v>
      </c>
      <c r="C714" s="2">
        <f>IF(ISERROR(_xll.Storm.ExcelMacros.GvDaily("/E.FEUAZ24", "Close", A714, , , , , "#", , , , , "/E.FEUAZ24", "Hundredths", , FALSE, )), 77.19, _xll.Storm.ExcelMacros.GvDaily("/E.FEUAZ24", "Close", A714, , , , , "#", , , , , "/E.FEUAZ24", "Hundredths", , FALSE, ))</f>
        <v>77.19</v>
      </c>
      <c r="D714" s="5">
        <v>82.88</v>
      </c>
    </row>
    <row r="715" spans="1:5" x14ac:dyDescent="0.35">
      <c r="A715" s="1">
        <f>DATE(2022, 9, 22)</f>
        <v>44826</v>
      </c>
      <c r="B715" s="2">
        <f>IF(ISERROR(_xll.Storm.ExcelMacros.GvDaily("/E.FEUAZ23", "Close", A715, , , , , "#", , , , , "/E.FEUAZ23", "Hundredths", , FALSE, )), 73.44, _xll.Storm.ExcelMacros.GvDaily("/E.FEUAZ23", "Close", A715, , , , , "#", , , , , "/E.FEUAZ23", "Hundredths", , FALSE, ))</f>
        <v>73.44</v>
      </c>
      <c r="C715" s="2">
        <f>IF(ISERROR(_xll.Storm.ExcelMacros.GvDaily("/E.FEUAZ24", "Close", A715, , , , , "#", , , , , "/E.FEUAZ24", "Hundredths", , FALSE, )), 77.87, _xll.Storm.ExcelMacros.GvDaily("/E.FEUAZ24", "Close", A715, , , , , "#", , , , , "/E.FEUAZ24", "Hundredths", , FALSE, ))</f>
        <v>77.87</v>
      </c>
      <c r="D715" s="5">
        <v>83.46</v>
      </c>
    </row>
    <row r="716" spans="1:5" x14ac:dyDescent="0.35">
      <c r="A716" s="1">
        <f>DATE(2022, 9, 23)</f>
        <v>44827</v>
      </c>
      <c r="B716" s="2">
        <f>IF(ISERROR(_xll.Storm.ExcelMacros.GvDaily("/E.FEUAZ23", "Close", A716, , , , , "#", , , , , "/E.FEUAZ23", "Hundredths", , FALSE, )), 68.73, _xll.Storm.ExcelMacros.GvDaily("/E.FEUAZ23", "Close", A716, , , , , "#", , , , , "/E.FEUAZ23", "Hundredths", , FALSE, ))</f>
        <v>68.73</v>
      </c>
      <c r="C716" s="2">
        <f>IF(ISERROR(_xll.Storm.ExcelMacros.GvDaily("/E.FEUAZ24", "Close", A716, , , , , "#", , , , , "/E.FEUAZ24", "Hundredths", , FALSE, )), 73.15, _xll.Storm.ExcelMacros.GvDaily("/E.FEUAZ24", "Close", A716, , , , , "#", , , , , "/E.FEUAZ24", "Hundredths", , FALSE, ))</f>
        <v>73.150000000000006</v>
      </c>
      <c r="D716" s="5">
        <v>78.680000000000007</v>
      </c>
    </row>
    <row r="717" spans="1:5" x14ac:dyDescent="0.35">
      <c r="A717" s="1">
        <f>DATE(2022, 9, 26)</f>
        <v>44830</v>
      </c>
      <c r="B717" s="2">
        <f>IF(ISERROR(_xll.Storm.ExcelMacros.GvDaily("/E.FEUAZ23", "Close", A717, , , , , "#", , , , , "/E.FEUAZ23", "Hundredths", , FALSE, )), 73.31, _xll.Storm.ExcelMacros.GvDaily("/E.FEUAZ23", "Close", A717, , , , , "#", , , , , "/E.FEUAZ23", "Hundredths", , FALSE, ))</f>
        <v>73.31</v>
      </c>
      <c r="C717" s="2">
        <f>IF(ISERROR(_xll.Storm.ExcelMacros.GvDaily("/E.FEUAZ24", "Close", A717, , , , , "#", , , , , "/E.FEUAZ24", "Hundredths", , FALSE, )), 77.9, _xll.Storm.ExcelMacros.GvDaily("/E.FEUAZ24", "Close", A717, , , , , "#", , , , , "/E.FEUAZ24", "Hundredths", , FALSE, ))</f>
        <v>77.900000000000006</v>
      </c>
      <c r="D717" s="5">
        <v>83.59</v>
      </c>
    </row>
    <row r="718" spans="1:5" x14ac:dyDescent="0.35">
      <c r="A718" s="1">
        <f>DATE(2022, 9, 27)</f>
        <v>44831</v>
      </c>
      <c r="B718" s="2">
        <f>IF(ISERROR(_xll.Storm.ExcelMacros.GvDaily("/E.FEUAZ23", "Close", A718, , , , , "#", , , , , "/E.FEUAZ23", "Hundredths", , FALSE, )), 70.95, _xll.Storm.ExcelMacros.GvDaily("/E.FEUAZ23", "Close", A718, , , , , "#", , , , , "/E.FEUAZ23", "Hundredths", , FALSE, ))</f>
        <v>70.95</v>
      </c>
      <c r="C718" s="2">
        <f>IF(ISERROR(_xll.Storm.ExcelMacros.GvDaily("/E.FEUAZ24", "Close", A718, , , , , "#", , , , , "/E.FEUAZ24", "Hundredths", , FALSE, )), 75.45, _xll.Storm.ExcelMacros.GvDaily("/E.FEUAZ24", "Close", A718, , , , , "#", , , , , "/E.FEUAZ24", "Hundredths", , FALSE, ))</f>
        <v>75.45</v>
      </c>
      <c r="D718" s="5">
        <v>81.05</v>
      </c>
    </row>
    <row r="719" spans="1:5" x14ac:dyDescent="0.35">
      <c r="A719" s="1">
        <f>DATE(2022, 9, 28)</f>
        <v>44832</v>
      </c>
      <c r="B719" s="2">
        <f>IF(ISERROR(_xll.Storm.ExcelMacros.GvDaily("/E.FEUAZ23", "Close", A719, , , , , "#", , , , , "/E.FEUAZ23", "Hundredths", , FALSE, )), 68.08, _xll.Storm.ExcelMacros.GvDaily("/E.FEUAZ23", "Close", A719, , , , , "#", , , , , "/E.FEUAZ23", "Hundredths", , FALSE, ))</f>
        <v>68.08</v>
      </c>
      <c r="C719" s="2">
        <f>IF(ISERROR(_xll.Storm.ExcelMacros.GvDaily("/E.FEUAZ24", "Close", A719, , , , , "#", , , , , "/E.FEUAZ24", "Hundredths", , FALSE, )), 72.62, _xll.Storm.ExcelMacros.GvDaily("/E.FEUAZ24", "Close", A719, , , , , "#", , , , , "/E.FEUAZ24", "Hundredths", , FALSE, ))</f>
        <v>72.62</v>
      </c>
      <c r="D719" s="5">
        <v>78.209999999999994</v>
      </c>
    </row>
    <row r="720" spans="1:5" x14ac:dyDescent="0.35">
      <c r="A720" s="1">
        <f>DATE(2022, 9, 29)</f>
        <v>44833</v>
      </c>
      <c r="B720" s="2">
        <f>IF(ISERROR(_xll.Storm.ExcelMacros.GvDaily("/E.FEUAZ23", "Close", A720, , , , , "#", , , , , "/E.FEUAZ23", "Hundredths", , FALSE, )), 68.67, _xll.Storm.ExcelMacros.GvDaily("/E.FEUAZ23", "Close", A720, , , , , "#", , , , , "/E.FEUAZ23", "Hundredths", , FALSE, ))</f>
        <v>68.67</v>
      </c>
      <c r="C720" s="2">
        <f>IF(ISERROR(_xll.Storm.ExcelMacros.GvDaily("/E.FEUAZ24", "Close", A720, , , , , "#", , , , , "/E.FEUAZ24", "Hundredths", , FALSE, )), 73.37, _xll.Storm.ExcelMacros.GvDaily("/E.FEUAZ24", "Close", A720, , , , , "#", , , , , "/E.FEUAZ24", "Hundredths", , FALSE, ))</f>
        <v>73.37</v>
      </c>
      <c r="D720" s="5">
        <v>79.27</v>
      </c>
    </row>
    <row r="721" spans="1:4" x14ac:dyDescent="0.35">
      <c r="A721" s="1">
        <f>DATE(2022, 9, 30)</f>
        <v>44834</v>
      </c>
      <c r="B721" s="2">
        <f>IF(ISERROR(_xll.Storm.ExcelMacros.GvDaily("/E.FEUAZ23", "Close", A721, , , , , "#", , , , , "/E.FEUAZ23", "Hundredths", , FALSE, )), 69.65, _xll.Storm.ExcelMacros.GvDaily("/E.FEUAZ23", "Close", A721, , , , , "#", , , , , "/E.FEUAZ23", "Hundredths", , FALSE, ))</f>
        <v>69.650000000000006</v>
      </c>
      <c r="C721" s="2">
        <f>IF(ISERROR(_xll.Storm.ExcelMacros.GvDaily("/E.FEUAZ24", "Close", A721, , , , , "#", , , , , "/E.FEUAZ24", "Hundredths", , FALSE, )), 74.31, _xll.Storm.ExcelMacros.GvDaily("/E.FEUAZ24", "Close", A721, , , , , "#", , , , , "/E.FEUAZ24", "Hundredths", , FALSE, ))</f>
        <v>74.31</v>
      </c>
      <c r="D721" s="5">
        <v>80.3</v>
      </c>
    </row>
    <row r="722" spans="1:4" x14ac:dyDescent="0.35">
      <c r="A722" s="1">
        <f>DATE(2022, 10, 3)</f>
        <v>44837</v>
      </c>
      <c r="B722" s="2">
        <f>IF(ISERROR(_xll.Storm.ExcelMacros.GvDaily("/E.FEUAZ23", "Close", A722, , , , , "#", , , , , "/E.FEUAZ23", "Hundredths", , FALSE, )), 68.78, _xll.Storm.ExcelMacros.GvDaily("/E.FEUAZ23", "Close", A722, , , , , "#", , , , , "/E.FEUAZ23", "Hundredths", , FALSE, ))</f>
        <v>68.78</v>
      </c>
      <c r="C722" s="2">
        <f>IF(ISERROR(_xll.Storm.ExcelMacros.GvDaily("/E.FEUAZ24", "Close", A722, , , , , "#", , , , , "/E.FEUAZ24", "Hundredths", , FALSE, )), 73.46, _xll.Storm.ExcelMacros.GvDaily("/E.FEUAZ24", "Close", A722, , , , , "#", , , , , "/E.FEUAZ24", "Hundredths", , FALSE, ))</f>
        <v>73.460000000000008</v>
      </c>
      <c r="D722" s="5">
        <v>79.650000000000006</v>
      </c>
    </row>
    <row r="723" spans="1:4" x14ac:dyDescent="0.35">
      <c r="A723" s="1">
        <f>DATE(2022, 10, 4)</f>
        <v>44838</v>
      </c>
      <c r="B723" s="2">
        <f>IF(ISERROR(_xll.Storm.ExcelMacros.GvDaily("/E.FEUAZ23", "Close", A723, , , , , "#", , , , , "/E.FEUAZ23", "Hundredths", , FALSE, )), 69.63, _xll.Storm.ExcelMacros.GvDaily("/E.FEUAZ23", "Close", A723, , , , , "#", , , , , "/E.FEUAZ23", "Hundredths", , FALSE, ))</f>
        <v>69.63</v>
      </c>
      <c r="C723" s="2">
        <f>IF(ISERROR(_xll.Storm.ExcelMacros.GvDaily("/E.FEUAZ24", "Close", A723, , , , , "#", , , , , "/E.FEUAZ24", "Hundredths", , FALSE, )), 74.28, _xll.Storm.ExcelMacros.GvDaily("/E.FEUAZ24", "Close", A723, , , , , "#", , , , , "/E.FEUAZ24", "Hundredths", , FALSE, ))</f>
        <v>74.28</v>
      </c>
      <c r="D723" s="5">
        <v>80.489999999999995</v>
      </c>
    </row>
    <row r="724" spans="1:4" x14ac:dyDescent="0.35">
      <c r="A724" s="1">
        <f>DATE(2022, 10, 5)</f>
        <v>44839</v>
      </c>
      <c r="B724" s="2">
        <f>IF(ISERROR(_xll.Storm.ExcelMacros.GvDaily("/E.FEUAZ23", "Close", A724, , , , , "#", , , , , "/E.FEUAZ23", "Hundredths", , FALSE, )), 69.76, _xll.Storm.ExcelMacros.GvDaily("/E.FEUAZ23", "Close", A724, , , , , "#", , , , , "/E.FEUAZ23", "Hundredths", , FALSE, ))</f>
        <v>69.760000000000005</v>
      </c>
      <c r="C724" s="2">
        <f>IF(ISERROR(_xll.Storm.ExcelMacros.GvDaily("/E.FEUAZ24", "Close", A724, , , , , "#", , , , , "/E.FEUAZ24", "Hundredths", , FALSE, )), 74.39, _xll.Storm.ExcelMacros.GvDaily("/E.FEUAZ24", "Close", A724, , , , , "#", , , , , "/E.FEUAZ24", "Hundredths", , FALSE, ))</f>
        <v>74.39</v>
      </c>
      <c r="D724" s="5">
        <v>80.900000000000006</v>
      </c>
    </row>
    <row r="725" spans="1:4" x14ac:dyDescent="0.35">
      <c r="A725" s="1">
        <f>DATE(2022, 10, 6)</f>
        <v>44840</v>
      </c>
      <c r="B725" s="2">
        <f>IF(ISERROR(_xll.Storm.ExcelMacros.GvDaily("/E.FEUAZ23", "Close", A725, , , , , "#", , , , , "/E.FEUAZ23", "Hundredths", , FALSE, )), 71.62, _xll.Storm.ExcelMacros.GvDaily("/E.FEUAZ23", "Close", A725, , , , , "#", , , , , "/E.FEUAZ23", "Hundredths", , FALSE, ))</f>
        <v>71.62</v>
      </c>
      <c r="C725" s="2">
        <f>IF(ISERROR(_xll.Storm.ExcelMacros.GvDaily("/E.FEUAZ24", "Close", A725, , , , , "#", , , , , "/E.FEUAZ24", "Hundredths", , FALSE, )), 76.18, _xll.Storm.ExcelMacros.GvDaily("/E.FEUAZ24", "Close", A725, , , , , "#", , , , , "/E.FEUAZ24", "Hundredths", , FALSE, ))</f>
        <v>76.180000000000007</v>
      </c>
      <c r="D725" s="5">
        <v>82.37</v>
      </c>
    </row>
    <row r="726" spans="1:4" x14ac:dyDescent="0.35">
      <c r="A726" s="1">
        <f>DATE(2022, 10, 7)</f>
        <v>44841</v>
      </c>
      <c r="B726" s="2">
        <f>IF(ISERROR(_xll.Storm.ExcelMacros.GvDaily("/E.FEUAZ23", "Close", A726, , , , , "#", , , , , "/E.FEUAZ23", "Hundredths", , FALSE, )), 72.62, _xll.Storm.ExcelMacros.GvDaily("/E.FEUAZ23", "Close", A726, , , , , "#", , , , , "/E.FEUAZ23", "Hundredths", , FALSE, ))</f>
        <v>72.62</v>
      </c>
      <c r="C726" s="2">
        <f>IF(ISERROR(_xll.Storm.ExcelMacros.GvDaily("/E.FEUAZ24", "Close", A726, , , , , "#", , , , , "/E.FEUAZ24", "Hundredths", , FALSE, )), 77.15, _xll.Storm.ExcelMacros.GvDaily("/E.FEUAZ24", "Close", A726, , , , , "#", , , , , "/E.FEUAZ24", "Hundredths", , FALSE, ))</f>
        <v>77.150000000000006</v>
      </c>
      <c r="D726" s="5">
        <v>83.45</v>
      </c>
    </row>
    <row r="727" spans="1:4" x14ac:dyDescent="0.35">
      <c r="A727" s="1">
        <f>DATE(2022, 10, 10)</f>
        <v>44844</v>
      </c>
      <c r="B727" s="2">
        <f>IF(ISERROR(_xll.Storm.ExcelMacros.GvDaily("/E.FEUAZ23", "Close", A727, , , , , "#", , , , , "/E.FEUAZ23", "Hundredths", , FALSE, )), 69.46, _xll.Storm.ExcelMacros.GvDaily("/E.FEUAZ23", "Close", A727, , , , , "#", , , , , "/E.FEUAZ23", "Hundredths", , FALSE, ))</f>
        <v>69.460000000000008</v>
      </c>
      <c r="C727" s="2">
        <f>IF(ISERROR(_xll.Storm.ExcelMacros.GvDaily("/E.FEUAZ24", "Close", A727, , , , , "#", , , , , "/E.FEUAZ24", "Hundredths", , FALSE, )), 74.01, _xll.Storm.ExcelMacros.GvDaily("/E.FEUAZ24", "Close", A727, , , , , "#", , , , , "/E.FEUAZ24", "Hundredths", , FALSE, ))</f>
        <v>74.010000000000005</v>
      </c>
      <c r="D727" s="5">
        <v>80.319999999999993</v>
      </c>
    </row>
    <row r="728" spans="1:4" x14ac:dyDescent="0.35">
      <c r="A728" s="1">
        <f>DATE(2022, 10, 11)</f>
        <v>44845</v>
      </c>
      <c r="B728" s="2">
        <f>IF(ISERROR(_xll.Storm.ExcelMacros.GvDaily("/E.FEUAZ23", "Close", A728, , , , , "#", , , , , "/E.FEUAZ23", "Hundredths", , FALSE, )), 69.02, _xll.Storm.ExcelMacros.GvDaily("/E.FEUAZ23", "Close", A728, , , , , "#", , , , , "/E.FEUAZ23", "Hundredths", , FALSE, ))</f>
        <v>69.02</v>
      </c>
      <c r="C728" s="2">
        <f>IF(ISERROR(_xll.Storm.ExcelMacros.GvDaily("/E.FEUAZ24", "Close", A728, , , , , "#", , , , , "/E.FEUAZ24", "Hundredths", , FALSE, )), 73.47, _xll.Storm.ExcelMacros.GvDaily("/E.FEUAZ24", "Close", A728, , , , , "#", , , , , "/E.FEUAZ24", "Hundredths", , FALSE, ))</f>
        <v>73.47</v>
      </c>
      <c r="D728" s="5">
        <v>79.75</v>
      </c>
    </row>
    <row r="729" spans="1:4" x14ac:dyDescent="0.35">
      <c r="A729" s="1">
        <f>DATE(2022, 10, 12)</f>
        <v>44846</v>
      </c>
      <c r="B729" s="2">
        <f>IF(ISERROR(_xll.Storm.ExcelMacros.GvDaily("/E.FEUAZ23", "Close", A729, , , , , "#", , , , , "/E.FEUAZ23", "Hundredths", , FALSE, )), 69.31, _xll.Storm.ExcelMacros.GvDaily("/E.FEUAZ23", "Close", A729, , , , , "#", , , , , "/E.FEUAZ23", "Hundredths", , FALSE, ))</f>
        <v>69.31</v>
      </c>
      <c r="C729" s="2">
        <f>IF(ISERROR(_xll.Storm.ExcelMacros.GvDaily("/E.FEUAZ24", "Close", A729, , , , , "#", , , , , "/E.FEUAZ24", "Hundredths", , FALSE, )), 73.76, _xll.Storm.ExcelMacros.GvDaily("/E.FEUAZ24", "Close", A729, , , , , "#", , , , , "/E.FEUAZ24", "Hundredths", , FALSE, ))</f>
        <v>73.760000000000005</v>
      </c>
      <c r="D729" s="5">
        <v>80.03</v>
      </c>
    </row>
    <row r="730" spans="1:4" x14ac:dyDescent="0.35">
      <c r="A730" s="1">
        <f>DATE(2022, 10, 13)</f>
        <v>44847</v>
      </c>
      <c r="B730" s="2">
        <f>IF(ISERROR(_xll.Storm.ExcelMacros.GvDaily("/E.FEUAZ23", "Close", A730, , , , , "#", , , , , "/E.FEUAZ23", "Hundredths", , FALSE, )), 71.42, _xll.Storm.ExcelMacros.GvDaily("/E.FEUAZ23", "Close", A730, , , , , "#", , , , , "/E.FEUAZ23", "Hundredths", , FALSE, ))</f>
        <v>71.42</v>
      </c>
      <c r="C730" s="2">
        <f>IF(ISERROR(_xll.Storm.ExcelMacros.GvDaily("/E.FEUAZ24", "Close", A730, , , , , "#", , , , , "/E.FEUAZ24", "Hundredths", , FALSE, )), 75.92, _xll.Storm.ExcelMacros.GvDaily("/E.FEUAZ24", "Close", A730, , , , , "#", , , , , "/E.FEUAZ24", "Hundredths", , FALSE, ))</f>
        <v>75.92</v>
      </c>
      <c r="D730" s="5">
        <v>82.12</v>
      </c>
    </row>
    <row r="731" spans="1:4" x14ac:dyDescent="0.35">
      <c r="A731" s="1">
        <f>DATE(2022, 10, 14)</f>
        <v>44848</v>
      </c>
      <c r="B731" s="2">
        <f>IF(ISERROR(_xll.Storm.ExcelMacros.GvDaily("/E.FEUAZ23", "Close", A731, , , , , "#", , , , , "/E.FEUAZ23", "Hundredths", , FALSE, )), 70.62, _xll.Storm.ExcelMacros.GvDaily("/E.FEUAZ23", "Close", A731, , , , , "#", , , , , "/E.FEUAZ23", "Hundredths", , FALSE, ))</f>
        <v>70.62</v>
      </c>
      <c r="C731" s="2">
        <f>IF(ISERROR(_xll.Storm.ExcelMacros.GvDaily("/E.FEUAZ24", "Close", A731, , , , , "#", , , , , "/E.FEUAZ24", "Hundredths", , FALSE, )), 75.11, _xll.Storm.ExcelMacros.GvDaily("/E.FEUAZ24", "Close", A731, , , , , "#", , , , , "/E.FEUAZ24", "Hundredths", , FALSE, ))</f>
        <v>75.11</v>
      </c>
      <c r="D731" s="5">
        <v>81.3</v>
      </c>
    </row>
    <row r="732" spans="1:4" x14ac:dyDescent="0.35">
      <c r="A732" s="1">
        <f>DATE(2022, 10, 17)</f>
        <v>44851</v>
      </c>
      <c r="B732" s="2">
        <f>IF(ISERROR(_xll.Storm.ExcelMacros.GvDaily("/E.FEUAZ23", "Close", A732, , , , , "#", , , , , "/E.FEUAZ23", "Hundredths", , FALSE, )), 70.11, _xll.Storm.ExcelMacros.GvDaily("/E.FEUAZ23", "Close", A732, , , , , "#", , , , , "/E.FEUAZ23", "Hundredths", , FALSE, ))</f>
        <v>70.11</v>
      </c>
      <c r="C732" s="2">
        <f>IF(ISERROR(_xll.Storm.ExcelMacros.GvDaily("/E.FEUAZ24", "Close", A732, , , , , "#", , , , , "/E.FEUAZ24", "Hundredths", , FALSE, )), 74.5, _xll.Storm.ExcelMacros.GvDaily("/E.FEUAZ24", "Close", A732, , , , , "#", , , , , "/E.FEUAZ24", "Hundredths", , FALSE, ))</f>
        <v>74.5</v>
      </c>
      <c r="D732" s="5">
        <v>80.650000000000006</v>
      </c>
    </row>
    <row r="733" spans="1:4" x14ac:dyDescent="0.35">
      <c r="A733" s="1">
        <f>DATE(2022, 10, 18)</f>
        <v>44852</v>
      </c>
      <c r="B733" s="2">
        <f>IF(ISERROR(_xll.Storm.ExcelMacros.GvDaily("/E.FEUAZ23", "Close", A733, , , , , "#", , , , , "/E.FEUAZ23", "Hundredths", , FALSE, )), 70.45, _xll.Storm.ExcelMacros.GvDaily("/E.FEUAZ23", "Close", A733, , , , , "#", , , , , "/E.FEUAZ23", "Hundredths", , FALSE, ))</f>
        <v>70.45</v>
      </c>
      <c r="C733" s="2">
        <f>IF(ISERROR(_xll.Storm.ExcelMacros.GvDaily("/E.FEUAZ24", "Close", A733, , , , , "#", , , , , "/E.FEUAZ24", "Hundredths", , FALSE, )), 74.75, _xll.Storm.ExcelMacros.GvDaily("/E.FEUAZ24", "Close", A733, , , , , "#", , , , , "/E.FEUAZ24", "Hundredths", , FALSE, ))</f>
        <v>74.75</v>
      </c>
      <c r="D733" s="5">
        <v>80.900000000000006</v>
      </c>
    </row>
    <row r="734" spans="1:4" x14ac:dyDescent="0.35">
      <c r="A734" s="1">
        <f>DATE(2022, 10, 19)</f>
        <v>44853</v>
      </c>
      <c r="B734" s="2">
        <f>IF(ISERROR(_xll.Storm.ExcelMacros.GvDaily("/E.FEUAZ23", "Close", A734, , , , , "#", , , , , "/E.FEUAZ23", "Hundredths", , FALSE, )), 70.08, _xll.Storm.ExcelMacros.GvDaily("/E.FEUAZ23", "Close", A734, , , , , "#", , , , , "/E.FEUAZ23", "Hundredths", , FALSE, ))</f>
        <v>70.08</v>
      </c>
      <c r="C734" s="2">
        <f>IF(ISERROR(_xll.Storm.ExcelMacros.GvDaily("/E.FEUAZ24", "Close", A734, , , , , "#", , , , , "/E.FEUAZ24", "Hundredths", , FALSE, )), 74.32, _xll.Storm.ExcelMacros.GvDaily("/E.FEUAZ24", "Close", A734, , , , , "#", , , , , "/E.FEUAZ24", "Hundredths", , FALSE, ))</f>
        <v>74.320000000000007</v>
      </c>
      <c r="D734" s="5">
        <v>80.42</v>
      </c>
    </row>
    <row r="735" spans="1:4" x14ac:dyDescent="0.35">
      <c r="A735" s="1">
        <f>DATE(2022, 10, 20)</f>
        <v>44854</v>
      </c>
      <c r="B735" s="2">
        <f>IF(ISERROR(_xll.Storm.ExcelMacros.GvDaily("/E.FEUAZ23", "Close", A735, , , , , "#", , , , , "/E.FEUAZ23", "Hundredths", , FALSE, )), 69.72, _xll.Storm.ExcelMacros.GvDaily("/E.FEUAZ23", "Close", A735, , , , , "#", , , , , "/E.FEUAZ23", "Hundredths", , FALSE, ))</f>
        <v>69.72</v>
      </c>
      <c r="C735" s="2">
        <f>IF(ISERROR(_xll.Storm.ExcelMacros.GvDaily("/E.FEUAZ24", "Close", A735, , , , , "#", , , , , "/E.FEUAZ24", "Hundredths", , FALSE, )), 73.92, _xll.Storm.ExcelMacros.GvDaily("/E.FEUAZ24", "Close", A735, , , , , "#", , , , , "/E.FEUAZ24", "Hundredths", , FALSE, ))</f>
        <v>73.92</v>
      </c>
      <c r="D735" s="5">
        <v>80.02</v>
      </c>
    </row>
    <row r="736" spans="1:4" x14ac:dyDescent="0.35">
      <c r="A736" s="1">
        <f>DATE(2022, 10, 21)</f>
        <v>44855</v>
      </c>
      <c r="B736" s="2">
        <f>IF(ISERROR(_xll.Storm.ExcelMacros.GvDaily("/E.FEUAZ23", "Close", A736, , , , , "#", , , , , "/E.FEUAZ23", "Hundredths", , FALSE, )), 71.59, _xll.Storm.ExcelMacros.GvDaily("/E.FEUAZ23", "Close", A736, , , , , "#", , , , , "/E.FEUAZ23", "Hundredths", , FALSE, ))</f>
        <v>71.59</v>
      </c>
      <c r="C736" s="2">
        <f>IF(ISERROR(_xll.Storm.ExcelMacros.GvDaily("/E.FEUAZ24", "Close", A736, , , , , "#", , , , , "/E.FEUAZ24", "Hundredths", , FALSE, )), 75.76, _xll.Storm.ExcelMacros.GvDaily("/E.FEUAZ24", "Close", A736, , , , , "#", , , , , "/E.FEUAZ24", "Hundredths", , FALSE, ))</f>
        <v>75.760000000000005</v>
      </c>
      <c r="D736" s="5">
        <v>81.83</v>
      </c>
    </row>
    <row r="737" spans="1:4" x14ac:dyDescent="0.35">
      <c r="A737" s="6">
        <f>DATE(2022, 10, 24)</f>
        <v>44858</v>
      </c>
      <c r="B737" s="5">
        <v>75.19</v>
      </c>
      <c r="C737" s="5">
        <v>79.42</v>
      </c>
      <c r="D737" s="5">
        <v>85.43</v>
      </c>
    </row>
    <row r="738" spans="1:4" x14ac:dyDescent="0.35">
      <c r="A738" s="6">
        <f>DATE(2022, 10, 25)</f>
        <v>44859</v>
      </c>
      <c r="B738" s="5">
        <v>79.959999999999994</v>
      </c>
      <c r="C738" s="5">
        <v>84.17</v>
      </c>
      <c r="D738" s="5">
        <v>90.17</v>
      </c>
    </row>
    <row r="739" spans="1:4" x14ac:dyDescent="0.35">
      <c r="A739" s="6">
        <f>DATE(2022, 10, 26)</f>
        <v>44860</v>
      </c>
      <c r="B739" s="5">
        <v>78.64</v>
      </c>
      <c r="C739" s="5">
        <v>82.97</v>
      </c>
      <c r="D739" s="5">
        <v>89.04</v>
      </c>
    </row>
    <row r="740" spans="1:4" x14ac:dyDescent="0.35">
      <c r="A740" s="6">
        <f>DATE(2022, 10, 27)</f>
        <v>44861</v>
      </c>
      <c r="B740" s="5">
        <v>83.13</v>
      </c>
      <c r="C740" s="5">
        <v>87.47</v>
      </c>
      <c r="D740" s="5">
        <v>93.52</v>
      </c>
    </row>
    <row r="741" spans="1:4" x14ac:dyDescent="0.35">
      <c r="A741" s="6">
        <f>DATE(2022, 10, 28)</f>
        <v>44862</v>
      </c>
      <c r="B741" s="5">
        <v>84.17</v>
      </c>
      <c r="C741" s="5">
        <v>88.55</v>
      </c>
      <c r="D741" s="5">
        <v>94.56</v>
      </c>
    </row>
    <row r="742" spans="1:4" x14ac:dyDescent="0.35">
      <c r="A742" s="6">
        <f>DATE(2022, 10, 31)</f>
        <v>44865</v>
      </c>
      <c r="B742" s="5">
        <v>82.97</v>
      </c>
      <c r="C742" s="5">
        <v>87.37</v>
      </c>
      <c r="D742" s="5">
        <v>93.35</v>
      </c>
    </row>
    <row r="743" spans="1:4" x14ac:dyDescent="0.35">
      <c r="A743" s="6">
        <f>DATE(2022, 11, 1)</f>
        <v>44866</v>
      </c>
      <c r="B743" s="5">
        <v>79.709999999999994</v>
      </c>
      <c r="C743" s="5">
        <v>84.14</v>
      </c>
      <c r="D743" s="5">
        <v>90.14</v>
      </c>
    </row>
    <row r="744" spans="1:4" x14ac:dyDescent="0.35">
      <c r="A744" s="6">
        <f>DATE(2022, 11, 2)</f>
        <v>44867</v>
      </c>
      <c r="B744" s="5">
        <v>79.75</v>
      </c>
      <c r="C744" s="5">
        <v>84.21</v>
      </c>
      <c r="D744" s="5">
        <v>90.21</v>
      </c>
    </row>
    <row r="745" spans="1:4" x14ac:dyDescent="0.35">
      <c r="A745" s="6">
        <f>DATE(2022, 11, 3)</f>
        <v>44868</v>
      </c>
      <c r="B745" s="5">
        <v>79.38</v>
      </c>
      <c r="C745" s="5">
        <v>83.84</v>
      </c>
      <c r="D745" s="5">
        <v>89.84</v>
      </c>
    </row>
    <row r="746" spans="1:4" x14ac:dyDescent="0.35">
      <c r="A746" s="6">
        <f>DATE(2022, 11, 4)</f>
        <v>44869</v>
      </c>
      <c r="B746" s="5">
        <v>79.59</v>
      </c>
      <c r="C746" s="5">
        <v>84.01</v>
      </c>
      <c r="D746" s="5">
        <v>90.01</v>
      </c>
    </row>
    <row r="747" spans="1:4" x14ac:dyDescent="0.35">
      <c r="A747" s="6">
        <f>DATE(2022, 11, 7)</f>
        <v>44872</v>
      </c>
      <c r="B747" s="5">
        <v>80.81</v>
      </c>
      <c r="C747" s="5">
        <v>85.13</v>
      </c>
      <c r="D747" s="5">
        <v>91.06</v>
      </c>
    </row>
    <row r="748" spans="1:4" x14ac:dyDescent="0.35">
      <c r="A748" s="6">
        <f>DATE(2022, 11, 8)</f>
        <v>44873</v>
      </c>
      <c r="B748" s="5">
        <v>79.349999999999994</v>
      </c>
      <c r="C748" s="5">
        <v>83.56</v>
      </c>
      <c r="D748" s="5">
        <v>89.28</v>
      </c>
    </row>
    <row r="749" spans="1:4" x14ac:dyDescent="0.35">
      <c r="A749" s="6">
        <f>DATE(2022, 11, 9)</f>
        <v>44874</v>
      </c>
      <c r="B749" s="5">
        <v>75.930000000000007</v>
      </c>
      <c r="C749" s="5">
        <v>79.98</v>
      </c>
      <c r="D749" s="5">
        <v>85.55</v>
      </c>
    </row>
    <row r="750" spans="1:4" x14ac:dyDescent="0.35">
      <c r="A750" s="6">
        <f>DATE(2022, 11, 10)</f>
        <v>44875</v>
      </c>
      <c r="B750" s="5">
        <v>76.19</v>
      </c>
      <c r="C750" s="5">
        <v>80.16</v>
      </c>
      <c r="D750" s="5">
        <v>85.66</v>
      </c>
    </row>
    <row r="751" spans="1:4" x14ac:dyDescent="0.35">
      <c r="A751" s="6">
        <f>DATE(2022, 11, 11)</f>
        <v>44876</v>
      </c>
      <c r="B751" s="5">
        <v>78.94</v>
      </c>
      <c r="C751" s="5">
        <v>82.83</v>
      </c>
      <c r="D751" s="5">
        <v>88.1</v>
      </c>
    </row>
    <row r="752" spans="1:4" x14ac:dyDescent="0.35">
      <c r="A752" s="6">
        <f>DATE(2022, 11, 14)</f>
        <v>44879</v>
      </c>
      <c r="B752" s="5">
        <v>78.37</v>
      </c>
      <c r="C752" s="5">
        <v>82.03</v>
      </c>
      <c r="D752" s="5">
        <v>86.78</v>
      </c>
    </row>
    <row r="753" spans="1:4" x14ac:dyDescent="0.35">
      <c r="A753" s="6">
        <f>DATE(2022, 11, 15)</f>
        <v>44880</v>
      </c>
      <c r="B753" s="5">
        <v>79.83</v>
      </c>
      <c r="C753" s="5">
        <v>83.55</v>
      </c>
      <c r="D753" s="5">
        <v>88.4</v>
      </c>
    </row>
    <row r="754" spans="1:4" x14ac:dyDescent="0.35">
      <c r="A754" s="6">
        <f>DATE(2022, 11, 16)</f>
        <v>44881</v>
      </c>
      <c r="B754" s="5">
        <v>76.58</v>
      </c>
      <c r="C754" s="5">
        <v>80.3</v>
      </c>
      <c r="D754" s="5">
        <v>85.24</v>
      </c>
    </row>
    <row r="755" spans="1:4" x14ac:dyDescent="0.35">
      <c r="A755" s="6">
        <f>DATE(2022, 11, 17)</f>
        <v>44882</v>
      </c>
      <c r="B755" s="5">
        <v>75.55</v>
      </c>
      <c r="C755" s="5">
        <v>79.22</v>
      </c>
      <c r="D755" s="5">
        <v>84.09</v>
      </c>
    </row>
    <row r="756" spans="1:4" x14ac:dyDescent="0.35">
      <c r="A756" s="6">
        <f>DATE(2022, 11, 18)</f>
        <v>44883</v>
      </c>
      <c r="B756" s="5">
        <v>75.58</v>
      </c>
      <c r="C756" s="5">
        <v>79.3</v>
      </c>
      <c r="D756" s="5">
        <v>84.23</v>
      </c>
    </row>
    <row r="757" spans="1:4" x14ac:dyDescent="0.35">
      <c r="A757" s="6">
        <f>DATE(2022, 11, 21)</f>
        <v>44886</v>
      </c>
      <c r="B757" s="5">
        <v>77.73</v>
      </c>
      <c r="C757" s="5">
        <v>81.47</v>
      </c>
      <c r="D757" s="5">
        <v>86.28</v>
      </c>
    </row>
    <row r="758" spans="1:4" x14ac:dyDescent="0.35">
      <c r="A758" s="6">
        <f>DATE(2022, 11, 22)</f>
        <v>44887</v>
      </c>
      <c r="B758" s="5">
        <v>77</v>
      </c>
      <c r="C758" s="5">
        <v>80.73</v>
      </c>
      <c r="D758" s="5">
        <v>85.53</v>
      </c>
    </row>
    <row r="759" spans="1:4" x14ac:dyDescent="0.35">
      <c r="A759" s="6">
        <f>DATE(2022, 11, 23)</f>
        <v>44888</v>
      </c>
      <c r="B759" s="5">
        <v>78.959999999999994</v>
      </c>
      <c r="C759" s="5">
        <v>82.66</v>
      </c>
      <c r="D759" s="5">
        <v>87.51</v>
      </c>
    </row>
    <row r="760" spans="1:4" x14ac:dyDescent="0.35">
      <c r="A760" s="6">
        <f>DATE(2022, 11, 24)</f>
        <v>44889</v>
      </c>
      <c r="B760" s="5">
        <v>81.36</v>
      </c>
      <c r="C760" s="5">
        <v>85.2</v>
      </c>
      <c r="D760" s="5">
        <v>90.19</v>
      </c>
    </row>
    <row r="761" spans="1:4" x14ac:dyDescent="0.35">
      <c r="A761" s="6">
        <f>DATE(2022, 11, 25)</f>
        <v>44890</v>
      </c>
      <c r="B761" s="5">
        <v>81.97</v>
      </c>
      <c r="C761" s="5">
        <v>85.81</v>
      </c>
      <c r="D761" s="5">
        <v>90.66</v>
      </c>
    </row>
    <row r="762" spans="1:4" x14ac:dyDescent="0.35">
      <c r="A762" s="6">
        <f>DATE(2022, 11, 28)</f>
        <v>44893</v>
      </c>
      <c r="B762" s="5">
        <v>82</v>
      </c>
      <c r="C762" s="5">
        <v>85.89</v>
      </c>
      <c r="D762" s="5">
        <v>90.74</v>
      </c>
    </row>
    <row r="763" spans="1:4" x14ac:dyDescent="0.35">
      <c r="A763" s="6">
        <f>DATE(2022, 11, 29)</f>
        <v>44894</v>
      </c>
      <c r="B763" s="5">
        <v>84.45</v>
      </c>
      <c r="C763" s="5">
        <v>88.39</v>
      </c>
      <c r="D763" s="5">
        <v>93.28</v>
      </c>
    </row>
    <row r="764" spans="1:4" x14ac:dyDescent="0.35">
      <c r="A764" s="6">
        <f>DATE(2022, 11, 30)</f>
        <v>44895</v>
      </c>
      <c r="B764" s="5">
        <v>88.17</v>
      </c>
      <c r="C764" s="5">
        <v>92.33</v>
      </c>
      <c r="D764" s="5">
        <v>97.33</v>
      </c>
    </row>
    <row r="765" spans="1:4" x14ac:dyDescent="0.35">
      <c r="A765" s="6">
        <f>DATE(2022, 12, 1)</f>
        <v>44896</v>
      </c>
      <c r="B765" s="5">
        <v>88.69</v>
      </c>
      <c r="C765" s="5">
        <v>92.9</v>
      </c>
      <c r="D765" s="5">
        <v>97.9</v>
      </c>
    </row>
    <row r="766" spans="1:4" x14ac:dyDescent="0.35">
      <c r="A766" s="6">
        <f>DATE(2022, 12, 2)</f>
        <v>44897</v>
      </c>
      <c r="B766" s="5">
        <v>91.13</v>
      </c>
      <c r="C766" s="5">
        <v>95.15</v>
      </c>
      <c r="D766" s="5">
        <v>99.77</v>
      </c>
    </row>
    <row r="767" spans="1:4" x14ac:dyDescent="0.35">
      <c r="A767" s="6">
        <f>DATE(2022, 12, 5)</f>
        <v>44900</v>
      </c>
      <c r="B767" s="5">
        <v>90.84</v>
      </c>
      <c r="C767" s="5">
        <v>94.92</v>
      </c>
      <c r="D767" s="5">
        <v>99.64</v>
      </c>
    </row>
    <row r="768" spans="1:4" x14ac:dyDescent="0.35">
      <c r="A768" s="6">
        <f>DATE(2022, 12, 6)</f>
        <v>44901</v>
      </c>
      <c r="B768" s="5">
        <v>91.31</v>
      </c>
      <c r="C768" s="5">
        <v>95.5</v>
      </c>
      <c r="D768" s="5">
        <v>100.36</v>
      </c>
    </row>
    <row r="769" spans="1:4" x14ac:dyDescent="0.35">
      <c r="A769" s="6">
        <f>DATE(2022, 12, 7)</f>
        <v>44902</v>
      </c>
      <c r="B769" s="5">
        <v>91.7</v>
      </c>
      <c r="C769" s="5">
        <v>95.91</v>
      </c>
      <c r="D769" s="5">
        <v>100.86</v>
      </c>
    </row>
    <row r="770" spans="1:4" x14ac:dyDescent="0.35">
      <c r="A770" s="6">
        <f>DATE(2022, 12, 8)</f>
        <v>44903</v>
      </c>
      <c r="B770" s="5">
        <v>92.27</v>
      </c>
      <c r="C770" s="5">
        <v>96.51</v>
      </c>
      <c r="D770" s="5">
        <v>101.46</v>
      </c>
    </row>
    <row r="771" spans="1:4" x14ac:dyDescent="0.35">
      <c r="A771" s="6">
        <f>DATE(2022, 12, 9)</f>
        <v>44904</v>
      </c>
      <c r="B771" s="5">
        <v>91.43</v>
      </c>
      <c r="C771" s="5">
        <v>95.67</v>
      </c>
      <c r="D771" s="5">
        <v>100.64</v>
      </c>
    </row>
    <row r="772" spans="1:4" x14ac:dyDescent="0.35">
      <c r="A772" s="6">
        <f>DATE(2022, 12, 12)</f>
        <v>44907</v>
      </c>
      <c r="B772" s="5">
        <v>93.76</v>
      </c>
      <c r="C772" s="5">
        <v>97.87</v>
      </c>
      <c r="D772" s="5">
        <v>102.71</v>
      </c>
    </row>
    <row r="773" spans="1:4" x14ac:dyDescent="0.35">
      <c r="A773" s="6">
        <f>DATE(2022, 12, 13)</f>
        <v>44908</v>
      </c>
      <c r="B773" s="5">
        <v>92.24</v>
      </c>
      <c r="C773" s="5">
        <v>96.35</v>
      </c>
      <c r="D773" s="5">
        <v>101.21</v>
      </c>
    </row>
    <row r="774" spans="1:4" x14ac:dyDescent="0.35">
      <c r="A774" s="6">
        <f>DATE(2022, 12, 14)</f>
        <v>44909</v>
      </c>
      <c r="B774" s="5">
        <v>90.17</v>
      </c>
      <c r="C774" s="5">
        <v>94.27</v>
      </c>
      <c r="D774" s="5">
        <v>99.11</v>
      </c>
    </row>
    <row r="775" spans="1:4" x14ac:dyDescent="0.35">
      <c r="A775" s="6">
        <f>DATE(2022, 12, 15)</f>
        <v>44910</v>
      </c>
      <c r="B775" s="5">
        <v>89.14</v>
      </c>
      <c r="C775" s="5">
        <v>93.25</v>
      </c>
      <c r="D775" s="5">
        <v>98.1</v>
      </c>
    </row>
    <row r="776" spans="1:4" x14ac:dyDescent="0.35">
      <c r="A776" s="6">
        <f>DATE(2022, 12, 16)</f>
        <v>44911</v>
      </c>
      <c r="B776" s="5">
        <v>87.41</v>
      </c>
      <c r="C776" s="5">
        <v>91.49</v>
      </c>
      <c r="D776" s="5">
        <v>96.29</v>
      </c>
    </row>
    <row r="777" spans="1:4" x14ac:dyDescent="0.35">
      <c r="A777" s="6">
        <f>DATE(2022, 12, 19)</f>
        <v>44914</v>
      </c>
      <c r="B777" s="5">
        <v>87.33</v>
      </c>
      <c r="C777" s="5">
        <v>91.39</v>
      </c>
      <c r="D777" s="5">
        <v>96.25</v>
      </c>
    </row>
    <row r="778" spans="1:4" x14ac:dyDescent="0.35">
      <c r="A778" s="6">
        <f>DATE(2022, 12, 20)</f>
        <v>44915</v>
      </c>
      <c r="B778" s="5">
        <v>90.22</v>
      </c>
      <c r="C778" s="5">
        <v>94.23</v>
      </c>
      <c r="D778" s="5">
        <v>98.94</v>
      </c>
    </row>
    <row r="779" spans="1:4" x14ac:dyDescent="0.35">
      <c r="A779" s="6">
        <f>DATE(2022, 12, 21)</f>
        <v>44916</v>
      </c>
      <c r="B779" s="5">
        <v>87.9</v>
      </c>
      <c r="C779" s="5">
        <v>92</v>
      </c>
      <c r="D779" s="5">
        <v>96.89</v>
      </c>
    </row>
    <row r="780" spans="1:4" x14ac:dyDescent="0.35">
      <c r="A780" s="6">
        <f>DATE(2022, 12, 22)</f>
        <v>44917</v>
      </c>
      <c r="B780" s="5">
        <v>89.27</v>
      </c>
      <c r="C780" s="5">
        <v>93.42</v>
      </c>
      <c r="D780" s="5">
        <v>98.31</v>
      </c>
    </row>
    <row r="781" spans="1:4" x14ac:dyDescent="0.35">
      <c r="A781" s="6">
        <f>DATE(2022, 12, 23)</f>
        <v>44918</v>
      </c>
      <c r="B781" s="5">
        <v>89.36</v>
      </c>
      <c r="C781" s="5">
        <v>93.51</v>
      </c>
      <c r="D781" s="5">
        <v>98.39</v>
      </c>
    </row>
    <row r="782" spans="1:4" x14ac:dyDescent="0.35">
      <c r="A782" s="6">
        <f>DATE(2022, 12, 26)</f>
        <v>44921</v>
      </c>
      <c r="B782" s="5"/>
      <c r="C782" s="5"/>
      <c r="D782" s="5"/>
    </row>
    <row r="783" spans="1:4" x14ac:dyDescent="0.35">
      <c r="A783" s="6">
        <f>DATE(2022, 12, 27)</f>
        <v>44922</v>
      </c>
      <c r="B783" s="5">
        <v>88.3</v>
      </c>
      <c r="C783" s="5">
        <v>92.42</v>
      </c>
      <c r="D783" s="5">
        <v>97.23</v>
      </c>
    </row>
    <row r="784" spans="1:4" x14ac:dyDescent="0.35">
      <c r="A784" s="6">
        <f>DATE(2022, 12, 28)</f>
        <v>44923</v>
      </c>
      <c r="B784" s="5">
        <v>86.06</v>
      </c>
      <c r="C784" s="5">
        <v>90.12</v>
      </c>
      <c r="D784" s="5">
        <v>94.92</v>
      </c>
    </row>
    <row r="785" spans="1:4" x14ac:dyDescent="0.35">
      <c r="A785" s="6">
        <f>DATE(2022, 12, 29)</f>
        <v>44924</v>
      </c>
      <c r="B785" s="5">
        <v>84.4</v>
      </c>
      <c r="C785" s="5">
        <v>88.41</v>
      </c>
      <c r="D785" s="5">
        <v>93.12</v>
      </c>
    </row>
    <row r="786" spans="1:4" x14ac:dyDescent="0.35">
      <c r="A786" s="6">
        <f>DATE(2022, 12, 30)</f>
        <v>44925</v>
      </c>
      <c r="B786" s="5">
        <v>83.97</v>
      </c>
      <c r="C786" s="5">
        <v>88.01</v>
      </c>
      <c r="D786" s="5">
        <v>92.65</v>
      </c>
    </row>
    <row r="787" spans="1:4" x14ac:dyDescent="0.35">
      <c r="A787" s="6">
        <f>DATE(2023, 1, 2)</f>
        <v>44928</v>
      </c>
      <c r="B787" s="5">
        <v>86.28</v>
      </c>
      <c r="C787" s="5">
        <v>90.33</v>
      </c>
      <c r="D787" s="5">
        <v>95.02</v>
      </c>
    </row>
    <row r="788" spans="1:4" x14ac:dyDescent="0.35">
      <c r="A788" s="6">
        <f>DATE(2023, 1, 3)</f>
        <v>44929</v>
      </c>
      <c r="B788" s="5">
        <v>83.57</v>
      </c>
      <c r="C788" s="5">
        <v>87.56</v>
      </c>
      <c r="D788" s="5">
        <v>92.38</v>
      </c>
    </row>
    <row r="789" spans="1:4" x14ac:dyDescent="0.35">
      <c r="A789" s="6">
        <f>DATE(2023, 1, 4)</f>
        <v>44930</v>
      </c>
      <c r="B789" s="5">
        <v>77.78</v>
      </c>
      <c r="C789" s="5">
        <v>81.63</v>
      </c>
      <c r="D789" s="5">
        <v>86.39</v>
      </c>
    </row>
    <row r="790" spans="1:4" x14ac:dyDescent="0.35">
      <c r="A790" s="6">
        <f>DATE(2023, 1, 5)</f>
        <v>44931</v>
      </c>
      <c r="B790" s="5">
        <v>78.83</v>
      </c>
      <c r="C790" s="5">
        <v>82.63</v>
      </c>
      <c r="D790" s="5">
        <v>87.46</v>
      </c>
    </row>
    <row r="791" spans="1:4" x14ac:dyDescent="0.35">
      <c r="A791" s="6">
        <f>DATE(2023, 1, 6)</f>
        <v>44932</v>
      </c>
      <c r="B791" s="5">
        <v>77.38</v>
      </c>
      <c r="C791" s="5">
        <v>81.209999999999994</v>
      </c>
      <c r="D791" s="5">
        <v>85.96</v>
      </c>
    </row>
    <row r="792" spans="1:4" x14ac:dyDescent="0.35">
      <c r="A792" s="6">
        <f>DATE(2023, 1, 9)</f>
        <v>44935</v>
      </c>
      <c r="B792" s="5">
        <v>81.45</v>
      </c>
      <c r="C792" s="5">
        <v>85.5</v>
      </c>
      <c r="D792" s="5">
        <v>90.26</v>
      </c>
    </row>
    <row r="793" spans="1:4" x14ac:dyDescent="0.35">
      <c r="A793" s="6">
        <f>DATE(2023, 1, 10)</f>
        <v>44936</v>
      </c>
      <c r="B793" s="5">
        <v>80.53</v>
      </c>
      <c r="C793" s="5">
        <v>84.52</v>
      </c>
      <c r="D793" s="5">
        <v>89.28</v>
      </c>
    </row>
    <row r="794" spans="1:4" x14ac:dyDescent="0.35">
      <c r="A794" s="6">
        <f>DATE(2023, 1, 11)</f>
        <v>44937</v>
      </c>
      <c r="B794" s="5">
        <v>79</v>
      </c>
      <c r="C794" s="5">
        <v>82.94</v>
      </c>
      <c r="D794" s="5">
        <v>87.46</v>
      </c>
    </row>
    <row r="795" spans="1:4" x14ac:dyDescent="0.35">
      <c r="A795" s="6">
        <f>DATE(2023, 1, 12)</f>
        <v>44938</v>
      </c>
      <c r="B795" s="5">
        <v>80.239999999999995</v>
      </c>
      <c r="C795" s="5">
        <v>84.14</v>
      </c>
      <c r="D795" s="5">
        <v>88.7</v>
      </c>
    </row>
    <row r="796" spans="1:4" x14ac:dyDescent="0.35">
      <c r="A796" s="6">
        <f>DATE(2023, 1, 13)</f>
        <v>44939</v>
      </c>
      <c r="B796" s="5">
        <v>79.86</v>
      </c>
      <c r="C796" s="5">
        <v>83.71</v>
      </c>
      <c r="D796" s="5">
        <v>88.27</v>
      </c>
    </row>
    <row r="797" spans="1:4" x14ac:dyDescent="0.35">
      <c r="A797" s="6">
        <f>DATE(2023, 1, 16)</f>
        <v>44942</v>
      </c>
      <c r="B797" s="5">
        <v>77.569999999999993</v>
      </c>
      <c r="C797" s="5">
        <v>81.33</v>
      </c>
      <c r="D797" s="5">
        <v>85.88</v>
      </c>
    </row>
    <row r="798" spans="1:4" x14ac:dyDescent="0.35">
      <c r="A798" s="6">
        <f>DATE(2023, 1, 17)</f>
        <v>44943</v>
      </c>
      <c r="B798" s="5">
        <v>79.56</v>
      </c>
      <c r="C798" s="5">
        <v>83.31</v>
      </c>
      <c r="D798" s="5">
        <v>87.82</v>
      </c>
    </row>
    <row r="799" spans="1:4" x14ac:dyDescent="0.35">
      <c r="A799" s="6">
        <f>DATE(2023, 1, 18)</f>
        <v>44944</v>
      </c>
      <c r="B799" s="5">
        <v>83.26</v>
      </c>
      <c r="C799" s="5">
        <v>87</v>
      </c>
      <c r="D799" s="5">
        <v>91.43</v>
      </c>
    </row>
    <row r="800" spans="1:4" x14ac:dyDescent="0.35">
      <c r="A800" s="6">
        <f>DATE(2023, 1, 19)</f>
        <v>44945</v>
      </c>
      <c r="B800" s="5">
        <v>83.9</v>
      </c>
      <c r="C800" s="5">
        <v>87.7</v>
      </c>
      <c r="D800" s="5">
        <v>92.3</v>
      </c>
    </row>
    <row r="801" spans="1:4" x14ac:dyDescent="0.35">
      <c r="A801" s="6">
        <f>DATE(2023, 1, 20)</f>
        <v>44946</v>
      </c>
      <c r="B801" s="5">
        <v>85.08</v>
      </c>
      <c r="C801" s="5">
        <v>88.96</v>
      </c>
      <c r="D801" s="5">
        <v>93.63</v>
      </c>
    </row>
    <row r="802" spans="1:4" x14ac:dyDescent="0.35">
      <c r="A802" s="6">
        <f>DATE(2023, 1, 23)</f>
        <v>44949</v>
      </c>
      <c r="B802" s="5">
        <v>85.18</v>
      </c>
      <c r="C802" s="5">
        <v>89.09</v>
      </c>
      <c r="D802" s="5">
        <v>93.75</v>
      </c>
    </row>
    <row r="803" spans="1:4" x14ac:dyDescent="0.35">
      <c r="A803" s="6">
        <f>DATE(2023, 1, 24)</f>
        <v>44950</v>
      </c>
      <c r="B803" s="5">
        <v>81.67</v>
      </c>
      <c r="C803" s="5">
        <v>85.49</v>
      </c>
      <c r="D803" s="5">
        <v>90.11</v>
      </c>
    </row>
    <row r="804" spans="1:4" x14ac:dyDescent="0.35">
      <c r="A804" s="6">
        <f>DATE(2023, 1, 25)</f>
        <v>44951</v>
      </c>
      <c r="B804" s="5">
        <v>84.26</v>
      </c>
      <c r="C804" s="5">
        <v>88.1</v>
      </c>
      <c r="D804" s="5">
        <v>92.57</v>
      </c>
    </row>
    <row r="805" spans="1:4" x14ac:dyDescent="0.35">
      <c r="A805" s="6">
        <f>DATE(2023, 1, 26)</f>
        <v>44952</v>
      </c>
      <c r="B805" s="5">
        <v>89.37</v>
      </c>
      <c r="C805" s="5">
        <v>93.26</v>
      </c>
      <c r="D805" s="5">
        <v>97.73</v>
      </c>
    </row>
    <row r="806" spans="1:4" x14ac:dyDescent="0.35">
      <c r="A806" s="6">
        <f>DATE(2023, 1, 27)</f>
        <v>44953</v>
      </c>
      <c r="B806" s="5">
        <v>89.23</v>
      </c>
      <c r="C806" s="5">
        <v>93.15</v>
      </c>
      <c r="D806" s="5">
        <v>97.69</v>
      </c>
    </row>
    <row r="807" spans="1:4" x14ac:dyDescent="0.35">
      <c r="A807" s="6">
        <f>DATE(2023, 1, 30)</f>
        <v>44956</v>
      </c>
      <c r="B807" s="5">
        <v>89.61</v>
      </c>
      <c r="C807" s="5">
        <v>93.59</v>
      </c>
      <c r="D807" s="5">
        <v>98.14</v>
      </c>
    </row>
    <row r="808" spans="1:4" x14ac:dyDescent="0.35">
      <c r="A808" s="6">
        <f>DATE(2023, 1, 31)</f>
        <v>44957</v>
      </c>
      <c r="B808" s="5">
        <v>93.01</v>
      </c>
      <c r="C808" s="5">
        <v>97.1</v>
      </c>
      <c r="D808" s="5">
        <v>101.75</v>
      </c>
    </row>
    <row r="809" spans="1:4" x14ac:dyDescent="0.35">
      <c r="A809" s="6">
        <f>DATE(2023, 2, 1)</f>
        <v>44958</v>
      </c>
      <c r="B809" s="5">
        <v>95.45</v>
      </c>
      <c r="C809" s="5">
        <v>99.7</v>
      </c>
      <c r="D809" s="5">
        <v>104.4</v>
      </c>
    </row>
    <row r="810" spans="1:4" x14ac:dyDescent="0.35">
      <c r="A810" s="6">
        <f>DATE(2023, 2, 2)</f>
        <v>44959</v>
      </c>
      <c r="B810" s="5">
        <v>93.01</v>
      </c>
      <c r="C810" s="5">
        <v>97.16</v>
      </c>
      <c r="D810" s="5">
        <v>101.8</v>
      </c>
    </row>
    <row r="811" spans="1:4" x14ac:dyDescent="0.35">
      <c r="A811" s="6">
        <f>DATE(2023, 2, 3)</f>
        <v>44960</v>
      </c>
      <c r="B811" s="5">
        <v>93.29</v>
      </c>
      <c r="C811" s="5">
        <v>97.44</v>
      </c>
      <c r="D811" s="5">
        <v>102.17</v>
      </c>
    </row>
    <row r="812" spans="1:4" x14ac:dyDescent="0.35">
      <c r="A812" s="6">
        <f>DATE(2023, 2, 6)</f>
        <v>44963</v>
      </c>
      <c r="B812" s="5">
        <v>90.89</v>
      </c>
      <c r="C812" s="5">
        <v>95</v>
      </c>
      <c r="D812" s="5">
        <v>99.59</v>
      </c>
    </row>
    <row r="813" spans="1:4" x14ac:dyDescent="0.35">
      <c r="A813" s="6">
        <f>DATE(2023, 2, 7)</f>
        <v>44964</v>
      </c>
      <c r="B813" s="5">
        <v>90.29</v>
      </c>
      <c r="C813" s="5">
        <v>94.41</v>
      </c>
      <c r="D813" s="5">
        <v>98.9</v>
      </c>
    </row>
    <row r="814" spans="1:4" x14ac:dyDescent="0.35">
      <c r="A814" s="6">
        <f>DATE(2023, 2, 8)</f>
        <v>44965</v>
      </c>
      <c r="B814" s="5">
        <v>90.28</v>
      </c>
      <c r="C814" s="5">
        <v>94.44</v>
      </c>
      <c r="D814" s="5">
        <v>98.89</v>
      </c>
    </row>
    <row r="815" spans="1:4" x14ac:dyDescent="0.35">
      <c r="A815" s="6">
        <f>DATE(2023, 2, 9)</f>
        <v>44966</v>
      </c>
      <c r="B815" s="5">
        <v>90.96</v>
      </c>
      <c r="C815" s="5">
        <v>95.14</v>
      </c>
      <c r="D815" s="5">
        <v>99.59</v>
      </c>
    </row>
    <row r="816" spans="1:4" x14ac:dyDescent="0.35">
      <c r="A816" s="6">
        <f>DATE(2023, 2, 10)</f>
        <v>44967</v>
      </c>
      <c r="B816" s="5">
        <v>93.04</v>
      </c>
      <c r="C816" s="5">
        <v>97.27</v>
      </c>
      <c r="D816" s="5">
        <v>101.76</v>
      </c>
    </row>
    <row r="817" spans="1:4" x14ac:dyDescent="0.35">
      <c r="A817" s="6">
        <f>DATE(2023, 2, 13)</f>
        <v>44970</v>
      </c>
      <c r="B817" s="5">
        <v>92.23</v>
      </c>
      <c r="C817" s="5">
        <v>96.49</v>
      </c>
      <c r="D817" s="5">
        <f>IF(ISERROR(_xll.Storm.ExcelMacros.GvDaily("/E.FEUAZ25", "Close", A817, , , , , , , , , , "/E.FEUAZ25", "Hundredths", , FALSE, )), 100.94, _xll.Storm.ExcelMacros.GvDaily("/E.FEUAZ25", "Close", A817, , , , , , , , , , "/E.FEUAZ25", "Hundredths", , FALSE, ))</f>
        <v>100.94</v>
      </c>
    </row>
    <row r="818" spans="1:4" x14ac:dyDescent="0.35">
      <c r="A818" s="6">
        <f>DATE(2023, 2, 14)</f>
        <v>44971</v>
      </c>
      <c r="B818" s="5">
        <f>IF(ISERROR(_xll.Storm.ExcelMacros.GvDaily("/E.FEUAZ23", "Close", A818, , , , , , , , , , "/E.FEUAZ23", "Hundredths", , FALSE, )), 92.06, _xll.Storm.ExcelMacros.GvDaily("/E.FEUAZ23", "Close", A818, , , , , , , , , , "/E.FEUAZ23", "Hundredths", , FALSE, ))</f>
        <v>92.06</v>
      </c>
      <c r="C818" s="5">
        <f>IF(ISERROR(_xll.Storm.ExcelMacros.GvDaily("/E.FEUAZ24", "Close", A818, , , , , , , , , , "/E.FEUAZ24", "Hundredths", , FALSE, )), 96.31, _xll.Storm.ExcelMacros.GvDaily("/E.FEUAZ24", "Close", A818, , , , , , , , , , "/E.FEUAZ24", "Hundredths", , FALSE, ))</f>
        <v>96.31</v>
      </c>
      <c r="D818" s="5">
        <f>IF(ISERROR(_xll.Storm.ExcelMacros.GvDaily("/E.FEUAZ25", "Close", A818, , , , , , , , , , "/E.FEUAZ25", "Hundredths", , FALSE, )), 100.67, _xll.Storm.ExcelMacros.GvDaily("/E.FEUAZ25", "Close", A818, , , , , , , , , , "/E.FEUAZ25", "Hundredths", , FALSE, ))</f>
        <v>100.67</v>
      </c>
    </row>
    <row r="819" spans="1:4" x14ac:dyDescent="0.35">
      <c r="A819" s="6">
        <f>DATE(2023, 2, 15)</f>
        <v>44972</v>
      </c>
      <c r="B819" s="5">
        <f>IF(ISERROR(_xll.Storm.ExcelMacros.GvDaily("/E.FEUAZ23", "Close", A819, , , , , , , , , , "/E.FEUAZ23", "Hundredths", , FALSE, )), 94.37, _xll.Storm.ExcelMacros.GvDaily("/E.FEUAZ23", "Close", A819, , , , , , , , , , "/E.FEUAZ23", "Hundredths", , FALSE, ))</f>
        <v>94.37</v>
      </c>
      <c r="C819" s="5">
        <f>IF(ISERROR(_xll.Storm.ExcelMacros.GvDaily("/E.FEUAZ24", "Close", A819, , , , , , , , , , "/E.FEUAZ24", "Hundredths", , FALSE, )), 98.75, _xll.Storm.ExcelMacros.GvDaily("/E.FEUAZ24", "Close", A819, , , , , , , , , , "/E.FEUAZ24", "Hundredths", , FALSE, ))</f>
        <v>98.75</v>
      </c>
      <c r="D819" s="5">
        <f>IF(ISERROR(_xll.Storm.ExcelMacros.GvDaily("/E.FEUAZ25", "Close", A819, , , , , , , , , , "/E.FEUAZ25", "Hundredths", , FALSE, )), 103.22, _xll.Storm.ExcelMacros.GvDaily("/E.FEUAZ25", "Close", A819, , , , , , , , , , "/E.FEUAZ25", "Hundredths", , FALSE, ))</f>
        <v>103.22</v>
      </c>
    </row>
    <row r="820" spans="1:4" x14ac:dyDescent="0.35">
      <c r="A820" s="6">
        <f>DATE(2023, 2, 16)</f>
        <v>44973</v>
      </c>
      <c r="B820" s="5">
        <f>IF(ISERROR(_xll.Storm.ExcelMacros.GvDaily("/E.FEUAZ23", "Close", A820, , , , , , , , , , "/E.FEUAZ23", "Hundredths", , FALSE, )), 97.54, _xll.Storm.ExcelMacros.GvDaily("/E.FEUAZ23", "Close", A820, , , , , , , , , , "/E.FEUAZ23", "Hundredths", , FALSE, ))</f>
        <v>97.54</v>
      </c>
      <c r="C820" s="5">
        <f>IF(ISERROR(_xll.Storm.ExcelMacros.GvDaily("/E.FEUAZ24", "Close", A820, , , , , , , , , , "/E.FEUAZ24", "Hundredths", , FALSE, )), 102.04, _xll.Storm.ExcelMacros.GvDaily("/E.FEUAZ24", "Close", A820, , , , , , , , , , "/E.FEUAZ24", "Hundredths", , FALSE, ))</f>
        <v>102.04</v>
      </c>
      <c r="D820" s="5">
        <f>IF(ISERROR(_xll.Storm.ExcelMacros.GvDaily("/E.FEUAZ25", "Close", A820, , , , , , , , , , "/E.FEUAZ25", "Hundredths", , FALSE, )), 106.66, _xll.Storm.ExcelMacros.GvDaily("/E.FEUAZ25", "Close", A820, , , , , , , , , , "/E.FEUAZ25", "Hundredths", , FALSE, ))</f>
        <v>106.66</v>
      </c>
    </row>
    <row r="821" spans="1:4" x14ac:dyDescent="0.35">
      <c r="A821" s="6">
        <f>DATE(2023, 2, 17)</f>
        <v>44974</v>
      </c>
      <c r="B821" s="5">
        <f>IF(ISERROR(_xll.Storm.ExcelMacros.GvDaily("/E.FEUAZ23", "Close", A821, , , , , , , , , , "/E.FEUAZ23", "Hundredths", , FALSE, )), 96.25, _xll.Storm.ExcelMacros.GvDaily("/E.FEUAZ23", "Close", A821, , , , , , , , , , "/E.FEUAZ23", "Hundredths", , FALSE, ))</f>
        <v>96.25</v>
      </c>
      <c r="C821" s="5">
        <f>IF(ISERROR(_xll.Storm.ExcelMacros.GvDaily("/E.FEUAZ24", "Close", A821, , , , , , , , , , "/E.FEUAZ24", "Hundredths", , FALSE, )), 100.71, _xll.Storm.ExcelMacros.GvDaily("/E.FEUAZ24", "Close", A821, , , , , , , , , , "/E.FEUAZ24", "Hundredths", , FALSE, ))</f>
        <v>100.71000000000001</v>
      </c>
      <c r="D821" s="5">
        <f>IF(ISERROR(_xll.Storm.ExcelMacros.GvDaily("/E.FEUAZ25", "Close", A821, , , , , , , , , , "/E.FEUAZ25", "Hundredths", , FALSE, )), 105.24, _xll.Storm.ExcelMacros.GvDaily("/E.FEUAZ25", "Close", A821, , , , , , , , , , "/E.FEUAZ25", "Hundredths", , FALSE, ))</f>
        <v>105.24000000000001</v>
      </c>
    </row>
    <row r="822" spans="1:4" x14ac:dyDescent="0.35">
      <c r="A822" s="6">
        <f>DATE(2023, 2, 20)</f>
        <v>44977</v>
      </c>
      <c r="B822" s="5">
        <f>IF(ISERROR(_xll.Storm.ExcelMacros.GvDaily("/E.FEUAZ23", "Close", A822, , , , , , , , , , "/E.FEUAZ23", "Hundredths", , FALSE, )), 98.35, _xll.Storm.ExcelMacros.GvDaily("/E.FEUAZ23", "Close", A822, , , , , , , , , , "/E.FEUAZ23", "Hundredths", , FALSE, ))</f>
        <v>98.350000000000009</v>
      </c>
      <c r="C822" s="5">
        <f>IF(ISERROR(_xll.Storm.ExcelMacros.GvDaily("/E.FEUAZ24", "Close", A822, , , , , , , , , , "/E.FEUAZ24", "Hundredths", , FALSE, )), 102.91, _xll.Storm.ExcelMacros.GvDaily("/E.FEUAZ24", "Close", A822, , , , , , , , , , "/E.FEUAZ24", "Hundredths", , FALSE, ))</f>
        <v>102.91</v>
      </c>
      <c r="D822" s="5">
        <f>IF(ISERROR(_xll.Storm.ExcelMacros.GvDaily("/E.FEUAZ25", "Close", A822, , , , , , , , , , "/E.FEUAZ25", "Hundredths", , FALSE, )), 107.45, _xll.Storm.ExcelMacros.GvDaily("/E.FEUAZ25", "Close", A822, , , , , , , , , , "/E.FEUAZ25", "Hundredths", , FALSE, ))</f>
        <v>107.45</v>
      </c>
    </row>
    <row r="823" spans="1:4" x14ac:dyDescent="0.35">
      <c r="A823" s="6">
        <f>DATE(2023, 2, 21)</f>
        <v>44978</v>
      </c>
      <c r="B823" s="5">
        <f>IF(ISERROR(_xll.Storm.ExcelMacros.GvDaily("/E.FEUAZ23", "Close", A823, , , , , , , , , , "/E.FEUAZ23", "Hundredths", , FALSE, )), 100.34, _xll.Storm.ExcelMacros.GvDaily("/E.FEUAZ23", "Close", A823, , , , , , , , , , "/E.FEUAZ23", "Hundredths", , FALSE, ))</f>
        <v>100.34</v>
      </c>
      <c r="C823" s="5">
        <f>IF(ISERROR(_xll.Storm.ExcelMacros.GvDaily("/E.FEUAZ24", "Close", A823, , , , , , , , , , "/E.FEUAZ24", "Hundredths", , FALSE, )), 105, _xll.Storm.ExcelMacros.GvDaily("/E.FEUAZ24", "Close", A823, , , , , , , , , , "/E.FEUAZ24", "Hundredths", , FALSE, ))</f>
        <v>105</v>
      </c>
      <c r="D823" s="5">
        <f>IF(ISERROR(_xll.Storm.ExcelMacros.GvDaily("/E.FEUAZ25", "Close", A823, , , , , , , , , , "/E.FEUAZ25", "Hundredths", , FALSE, )), 109.61, _xll.Storm.ExcelMacros.GvDaily("/E.FEUAZ25", "Close", A823, , , , , , , , , , "/E.FEUAZ25", "Hundredths", , FALSE, ))</f>
        <v>109.61</v>
      </c>
    </row>
    <row r="824" spans="1:4" x14ac:dyDescent="0.35">
      <c r="A824" s="6">
        <f>DATE(2023, 2, 22)</f>
        <v>44979</v>
      </c>
      <c r="B824" s="5">
        <f>IF(ISERROR(_xll.Storm.ExcelMacros.GvDaily("/E.FEUAZ23", "Close", A824, , , , , , , , , , "/E.FEUAZ23", "Hundredths", , FALSE, )), 96.77, _xll.Storm.ExcelMacros.GvDaily("/E.FEUAZ23", "Close", A824, , , , , , , , , , "/E.FEUAZ23", "Hundredths", , FALSE, ))</f>
        <v>96.77</v>
      </c>
      <c r="C824" s="5">
        <f>IF(ISERROR(_xll.Storm.ExcelMacros.GvDaily("/E.FEUAZ24", "Close", A824, , , , , , , , , , "/E.FEUAZ24", "Hundredths", , FALSE, )), 101.41, _xll.Storm.ExcelMacros.GvDaily("/E.FEUAZ24", "Close", A824, , , , , , , , , , "/E.FEUAZ24", "Hundredths", , FALSE, ))</f>
        <v>101.41</v>
      </c>
      <c r="D824" s="5">
        <f>IF(ISERROR(_xll.Storm.ExcelMacros.GvDaily("/E.FEUAZ25", "Close", A824, , , , , , , , , , "/E.FEUAZ25", "Hundredths", , FALSE, )), 105.97, _xll.Storm.ExcelMacros.GvDaily("/E.FEUAZ25", "Close", A824, , , , , , , , , , "/E.FEUAZ25", "Hundredths", , FALSE, ))</f>
        <v>105.97</v>
      </c>
    </row>
    <row r="825" spans="1:4" x14ac:dyDescent="0.35">
      <c r="A825" s="6">
        <f>DATE(2023, 2, 23)</f>
        <v>44980</v>
      </c>
      <c r="B825" s="5">
        <f>IF(ISERROR(_xll.Storm.ExcelMacros.GvDaily("/E.FEUAZ23", "Close", A825, , , , , , , , , , "/E.FEUAZ23", "Hundredths", , FALSE, )), 97.58, _xll.Storm.ExcelMacros.GvDaily("/E.FEUAZ23", "Close", A825, , , , , , , , , , "/E.FEUAZ23", "Hundredths", , FALSE, ))</f>
        <v>97.58</v>
      </c>
      <c r="C825" s="5">
        <f>IF(ISERROR(_xll.Storm.ExcelMacros.GvDaily("/E.FEUAZ24", "Close", A825, , , , , , , , , , "/E.FEUAZ24", "Hundredths", , FALSE, )), 102.26, _xll.Storm.ExcelMacros.GvDaily("/E.FEUAZ24", "Close", A825, , , , , , , , , , "/E.FEUAZ24", "Hundredths", , FALSE, ))</f>
        <v>102.26</v>
      </c>
      <c r="D825" s="5">
        <f>IF(ISERROR(_xll.Storm.ExcelMacros.GvDaily("/E.FEUAZ25", "Close", A825, , , , , , , , , , "/E.FEUAZ25", "Hundredths", , FALSE, )), 106.84, _xll.Storm.ExcelMacros.GvDaily("/E.FEUAZ25", "Close", A825, , , , , , , , , , "/E.FEUAZ25", "Hundredths", , FALSE, ))</f>
        <v>106.84</v>
      </c>
    </row>
    <row r="826" spans="1:4" x14ac:dyDescent="0.35">
      <c r="A826" s="6">
        <f>DATE(2023, 2, 24)</f>
        <v>44981</v>
      </c>
      <c r="B826" s="5">
        <f>IF(ISERROR(_xll.Storm.ExcelMacros.GvDaily("/E.FEUAZ23", "Close", A826, , , , , , , , , , "/E.FEUAZ23", "Hundredths", , FALSE, )), 97.39, _xll.Storm.ExcelMacros.GvDaily("/E.FEUAZ23", "Close", A826, , , , , , , , , , "/E.FEUAZ23", "Hundredths", , FALSE, ))</f>
        <v>97.39</v>
      </c>
      <c r="C826" s="5">
        <f>IF(ISERROR(_xll.Storm.ExcelMacros.GvDaily("/E.FEUAZ24", "Close", A826, , , , , , , , , , "/E.FEUAZ24", "Hundredths", , FALSE, )), 102.14, _xll.Storm.ExcelMacros.GvDaily("/E.FEUAZ24", "Close", A826, , , , , , , , , , "/E.FEUAZ24", "Hundredths", , FALSE, ))</f>
        <v>102.14</v>
      </c>
      <c r="D826" s="5">
        <f>IF(ISERROR(_xll.Storm.ExcelMacros.GvDaily("/E.FEUAZ25", "Close", A826, , , , , , , , , , "/E.FEUAZ25", "Hundredths", , FALSE, )), 106.79, _xll.Storm.ExcelMacros.GvDaily("/E.FEUAZ25", "Close", A826, , , , , , , , , , "/E.FEUAZ25", "Hundredths", , FALSE, ))</f>
        <v>106.79</v>
      </c>
    </row>
    <row r="827" spans="1:4" x14ac:dyDescent="0.35">
      <c r="A827" s="6">
        <f>DATE(2023, 2, 27)</f>
        <v>44984</v>
      </c>
      <c r="B827" s="5">
        <f>IF(ISERROR(_xll.Storm.ExcelMacros.GvDaily("/E.FEUAZ23", "Close", A827, , , , , , , , , , "/E.FEUAZ23", "Hundredths", , FALSE, )), 100.23, _xll.Storm.ExcelMacros.GvDaily("/E.FEUAZ23", "Close", A827, , , , , , , , , , "/E.FEUAZ23", "Hundredths", , FALSE, ))</f>
        <v>100.23</v>
      </c>
      <c r="C827" s="5">
        <f>IF(ISERROR(_xll.Storm.ExcelMacros.GvDaily("/E.FEUAZ24", "Close", A827, , , , , , , , , , "/E.FEUAZ24", "Hundredths", , FALSE, )), 105.14, _xll.Storm.ExcelMacros.GvDaily("/E.FEUAZ24", "Close", A827, , , , , , , , , , "/E.FEUAZ24", "Hundredths", , FALSE, ))</f>
        <v>105.14</v>
      </c>
      <c r="D827" s="5">
        <f>IF(ISERROR(_xll.Storm.ExcelMacros.GvDaily("/E.FEUAZ25", "Close", A827, , , , , , , , , , "/E.FEUAZ25", "Hundredths", , FALSE, )), 109.95, _xll.Storm.ExcelMacros.GvDaily("/E.FEUAZ25", "Close", A827, , , , , , , , , , "/E.FEUAZ25", "Hundredths", , FALSE, ))</f>
        <v>109.95</v>
      </c>
    </row>
    <row r="828" spans="1:4" x14ac:dyDescent="0.35">
      <c r="A828" s="6">
        <f>DATE(2023, 2, 28)</f>
        <v>44985</v>
      </c>
      <c r="B828" s="5">
        <f>IF(ISERROR(_xll.Storm.ExcelMacros.GvDaily("/E.FEUAZ23", "Close", A828, , , , , , , , , , "/E.FEUAZ23", "Hundredths", , FALSE, )), 99.8, _xll.Storm.ExcelMacros.GvDaily("/E.FEUAZ23", "Close", A828, , , , , , , , , , "/E.FEUAZ23", "Hundredths", , FALSE, ))</f>
        <v>99.8</v>
      </c>
      <c r="C828" s="5">
        <f>IF(ISERROR(_xll.Storm.ExcelMacros.GvDaily("/E.FEUAZ24", "Close", A828, , , , , , , , , , "/E.FEUAZ24", "Hundredths", , FALSE, )), 104.8, _xll.Storm.ExcelMacros.GvDaily("/E.FEUAZ24", "Close", A828, , , , , , , , , , "/E.FEUAZ24", "Hundredths", , FALSE, ))</f>
        <v>104.8</v>
      </c>
      <c r="D828" s="5">
        <f>IF(ISERROR(_xll.Storm.ExcelMacros.GvDaily("/E.FEUAZ25", "Close", A828, , , , , , , , , , "/E.FEUAZ25", "Hundredths", , FALSE, )), 109.73, _xll.Storm.ExcelMacros.GvDaily("/E.FEUAZ25", "Close", A828, , , , , , , , , , "/E.FEUAZ25", "Hundredths", , FALSE, ))</f>
        <v>109.73</v>
      </c>
    </row>
    <row r="829" spans="1:4" x14ac:dyDescent="0.35">
      <c r="A829" s="6">
        <f>DATE(2023, 3, 1)</f>
        <v>44986</v>
      </c>
      <c r="B829" s="5">
        <f>IF(ISERROR(_xll.Storm.ExcelMacros.GvDaily("/E.FEUAZ23", "Close", A829, , , , , , , , , , "/E.FEUAZ23", "Hundredths", , FALSE, )), 96.92, _xll.Storm.ExcelMacros.GvDaily("/E.FEUAZ23", "Close", A829, , , , , , , , , , "/E.FEUAZ23", "Hundredths", , FALSE, ))</f>
        <v>96.92</v>
      </c>
      <c r="C829" s="5">
        <f>IF(ISERROR(_xll.Storm.ExcelMacros.GvDaily("/E.FEUAZ24", "Close", A829, , , , , , , , , , "/E.FEUAZ24", "Hundredths", , FALSE, )), 101.95, _xll.Storm.ExcelMacros.GvDaily("/E.FEUAZ24", "Close", A829, , , , , , , , , , "/E.FEUAZ24", "Hundredths", , FALSE, ))</f>
        <v>101.95</v>
      </c>
      <c r="D829" s="5">
        <f>IF(ISERROR(_xll.Storm.ExcelMacros.GvDaily("/E.FEUAZ25", "Close", A829, , , , , , , , , , "/E.FEUAZ25", "Hundredths", , FALSE, )), 106.97, _xll.Storm.ExcelMacros.GvDaily("/E.FEUAZ25", "Close", A829, , , , , , , , , , "/E.FEUAZ25", "Hundredths", , FALSE, ))</f>
        <v>106.97</v>
      </c>
    </row>
    <row r="830" spans="1:4" x14ac:dyDescent="0.35">
      <c r="A830" s="6">
        <f>DATE(2023, 3, 2)</f>
        <v>44987</v>
      </c>
      <c r="B830" s="5">
        <f>IF(ISERROR(_xll.Storm.ExcelMacros.GvDaily("/E.FEUAZ23", "Close", A830, , , , , , , , , , "/E.FEUAZ23", "Hundredths", , FALSE, )), 93.38, _xll.Storm.ExcelMacros.GvDaily("/E.FEUAZ23", "Close", A830, , , , , , , , , , "/E.FEUAZ23", "Hundredths", , FALSE, ))</f>
        <v>93.38</v>
      </c>
      <c r="C830" s="5">
        <f>IF(ISERROR(_xll.Storm.ExcelMacros.GvDaily("/E.FEUAZ24", "Close", A830, , , , , , , , , , "/E.FEUAZ24", "Hundredths", , FALSE, )), 98.34, _xll.Storm.ExcelMacros.GvDaily("/E.FEUAZ24", "Close", A830, , , , , , , , , , "/E.FEUAZ24", "Hundredths", , FALSE, ))</f>
        <v>98.34</v>
      </c>
      <c r="D830" s="5">
        <f>IF(ISERROR(_xll.Storm.ExcelMacros.GvDaily("/E.FEUAZ25", "Close", A830, , , , , , , , , , "/E.FEUAZ25", "Hundredths", , FALSE, )), 103.4, _xll.Storm.ExcelMacros.GvDaily("/E.FEUAZ25", "Close", A830, , , , , , , , , , "/E.FEUAZ25", "Hundredths", , FALSE, ))</f>
        <v>103.4</v>
      </c>
    </row>
    <row r="831" spans="1:4" x14ac:dyDescent="0.35">
      <c r="A831" s="6">
        <f>DATE(2023, 3, 3)</f>
        <v>44988</v>
      </c>
      <c r="B831" s="5">
        <f>IF(ISERROR(_xll.Storm.ExcelMacros.GvDaily("/E.FEUAZ23", "Close", A831, , , , , , , , , , "/E.FEUAZ23", "Hundredths", , FALSE, )), 92.18, _xll.Storm.ExcelMacros.GvDaily("/E.FEUAZ23", "Close", A831, , , , , , , , , , "/E.FEUAZ23", "Hundredths", , FALSE, ))</f>
        <v>92.18</v>
      </c>
      <c r="C831" s="5">
        <f>IF(ISERROR(_xll.Storm.ExcelMacros.GvDaily("/E.FEUAZ24", "Close", A831, , , , , , , , , , "/E.FEUAZ24", "Hundredths", , FALSE, )), 97.09, _xll.Storm.ExcelMacros.GvDaily("/E.FEUAZ24", "Close", A831, , , , , , , , , , "/E.FEUAZ24", "Hundredths", , FALSE, ))</f>
        <v>97.09</v>
      </c>
      <c r="D831" s="5">
        <f>IF(ISERROR(_xll.Storm.ExcelMacros.GvDaily("/E.FEUAZ25", "Close", A831, , , , , , , , , , "/E.FEUAZ25", "Hundredths", , FALSE, )), 102.12, _xll.Storm.ExcelMacros.GvDaily("/E.FEUAZ25", "Close", A831, , , , , , , , , , "/E.FEUAZ25", "Hundredths", , FALSE, ))</f>
        <v>102.12</v>
      </c>
    </row>
    <row r="832" spans="1:4" x14ac:dyDescent="0.35">
      <c r="A832" s="7">
        <f>DATE(2023, 3, 6)</f>
        <v>44991</v>
      </c>
      <c r="B832" s="5">
        <v>92.98</v>
      </c>
      <c r="C832" s="5">
        <v>97.88</v>
      </c>
      <c r="D832" s="5">
        <v>102.88</v>
      </c>
    </row>
    <row r="833" spans="1:4" x14ac:dyDescent="0.35">
      <c r="A833" s="7">
        <f>DATE(2023, 3, 7)</f>
        <v>44992</v>
      </c>
      <c r="B833" s="5">
        <v>95.69</v>
      </c>
      <c r="C833" s="5">
        <v>100.65</v>
      </c>
      <c r="D833" s="5">
        <v>105.66</v>
      </c>
    </row>
    <row r="834" spans="1:4" x14ac:dyDescent="0.35">
      <c r="A834" s="7">
        <f>DATE(2023, 3, 8)</f>
        <v>44993</v>
      </c>
      <c r="B834" s="5">
        <v>97.85</v>
      </c>
      <c r="C834" s="5">
        <v>102.92</v>
      </c>
      <c r="D834" s="5">
        <v>108.03</v>
      </c>
    </row>
    <row r="835" spans="1:4" x14ac:dyDescent="0.35">
      <c r="A835" s="7">
        <f>DATE(2023, 3, 9)</f>
        <v>44994</v>
      </c>
      <c r="B835" s="5">
        <v>98.42</v>
      </c>
      <c r="C835" s="5">
        <v>103.5</v>
      </c>
      <c r="D835" s="5">
        <v>108.59</v>
      </c>
    </row>
    <row r="836" spans="1:4" x14ac:dyDescent="0.35">
      <c r="A836" s="7">
        <f>DATE(2023, 3, 10)</f>
        <v>44995</v>
      </c>
      <c r="B836" s="5">
        <v>99.79</v>
      </c>
      <c r="C836" s="5">
        <v>104.81</v>
      </c>
      <c r="D836" s="5">
        <v>109.86</v>
      </c>
    </row>
    <row r="837" spans="1:4" x14ac:dyDescent="0.35">
      <c r="A837" s="7">
        <f>DATE(2023, 3, 13)</f>
        <v>44998</v>
      </c>
      <c r="B837" s="5">
        <v>97.13</v>
      </c>
      <c r="C837" s="5">
        <v>101.69</v>
      </c>
      <c r="D837" s="5">
        <v>106.47</v>
      </c>
    </row>
    <row r="838" spans="1:4" x14ac:dyDescent="0.35">
      <c r="A838" s="7">
        <f>DATE(2023, 3, 14)</f>
        <v>44999</v>
      </c>
      <c r="B838" s="5">
        <v>92.68</v>
      </c>
      <c r="C838" s="5">
        <v>97.27</v>
      </c>
      <c r="D838" s="5">
        <v>101.94</v>
      </c>
    </row>
    <row r="839" spans="1:4" x14ac:dyDescent="0.35">
      <c r="A839" s="7">
        <f>DATE(2023, 3, 15)</f>
        <v>45000</v>
      </c>
      <c r="B839" s="5">
        <v>89.2</v>
      </c>
      <c r="C839" s="5">
        <v>93.31</v>
      </c>
      <c r="D839" s="5">
        <v>97.43</v>
      </c>
    </row>
    <row r="840" spans="1:4" x14ac:dyDescent="0.35">
      <c r="A840" s="7">
        <f>DATE(2023, 3, 16)</f>
        <v>45001</v>
      </c>
      <c r="B840" s="5">
        <v>87.07</v>
      </c>
      <c r="C840" s="5">
        <v>91.16</v>
      </c>
      <c r="D840" s="5">
        <v>95.27</v>
      </c>
    </row>
    <row r="841" spans="1:4" x14ac:dyDescent="0.35">
      <c r="A841" s="7">
        <f>DATE(2023, 3, 17)</f>
        <v>45002</v>
      </c>
      <c r="B841" s="5">
        <v>87.29</v>
      </c>
      <c r="C841" s="5">
        <v>91.39</v>
      </c>
      <c r="D841" s="5">
        <v>95.49</v>
      </c>
    </row>
    <row r="842" spans="1:4" x14ac:dyDescent="0.35">
      <c r="A842" s="7">
        <f>DATE(2023, 3, 20)</f>
        <v>45005</v>
      </c>
      <c r="B842" s="5">
        <v>87.83</v>
      </c>
      <c r="C842" s="5">
        <v>91.93</v>
      </c>
      <c r="D842" s="5">
        <v>95.98</v>
      </c>
    </row>
    <row r="843" spans="1:4" x14ac:dyDescent="0.35">
      <c r="A843" s="7">
        <f>DATE(2023, 3, 21)</f>
        <v>45006</v>
      </c>
      <c r="B843" s="5">
        <v>89.73</v>
      </c>
      <c r="C843" s="5">
        <v>93.85</v>
      </c>
      <c r="D843" s="5">
        <v>97.8</v>
      </c>
    </row>
    <row r="844" spans="1:4" x14ac:dyDescent="0.35">
      <c r="A844" s="7">
        <f>DATE(2023, 3, 22)</f>
        <v>45007</v>
      </c>
      <c r="B844" s="5">
        <v>89.67</v>
      </c>
      <c r="C844" s="5">
        <v>93.84</v>
      </c>
      <c r="D844" s="5">
        <v>97.79</v>
      </c>
    </row>
    <row r="845" spans="1:4" x14ac:dyDescent="0.35">
      <c r="A845" s="7">
        <f>DATE(2023, 3, 23)</f>
        <v>45008</v>
      </c>
      <c r="B845" s="5">
        <v>92.58</v>
      </c>
      <c r="C845" s="5">
        <v>96.82</v>
      </c>
      <c r="D845" s="5">
        <v>100.84</v>
      </c>
    </row>
    <row r="846" spans="1:4" x14ac:dyDescent="0.35">
      <c r="A846" s="7">
        <f>DATE(2023, 3, 24)</f>
        <v>45009</v>
      </c>
      <c r="B846" s="5">
        <v>87.65</v>
      </c>
      <c r="C846" s="5">
        <v>91.64</v>
      </c>
      <c r="D846" s="5">
        <v>95.43</v>
      </c>
    </row>
    <row r="847" spans="1:4" x14ac:dyDescent="0.35">
      <c r="A847" s="7">
        <f>DATE(2023, 3, 27)</f>
        <v>45012</v>
      </c>
      <c r="B847" s="5">
        <v>87.41</v>
      </c>
      <c r="C847" s="5">
        <v>91.41</v>
      </c>
      <c r="D847" s="5">
        <v>95.2</v>
      </c>
    </row>
    <row r="848" spans="1:4" x14ac:dyDescent="0.35">
      <c r="A848" s="7">
        <f>DATE(2023, 3, 28)</f>
        <v>45013</v>
      </c>
      <c r="B848" s="5">
        <v>89.32</v>
      </c>
      <c r="C848" s="5">
        <v>93.46</v>
      </c>
      <c r="D848" s="5">
        <v>97.37</v>
      </c>
    </row>
    <row r="849" spans="1:4" x14ac:dyDescent="0.35">
      <c r="A849" s="7">
        <f>DATE(2023, 3, 29)</f>
        <v>45014</v>
      </c>
      <c r="B849" s="5">
        <v>90.29</v>
      </c>
      <c r="C849" s="5">
        <v>94.47</v>
      </c>
      <c r="D849" s="5">
        <v>98.48</v>
      </c>
    </row>
    <row r="850" spans="1:4" x14ac:dyDescent="0.35">
      <c r="A850" s="7">
        <f>DATE(2023, 3, 30)</f>
        <v>45015</v>
      </c>
      <c r="B850" s="5">
        <v>90.96</v>
      </c>
      <c r="C850" s="5">
        <v>95.14</v>
      </c>
      <c r="D850" s="5">
        <v>99.2</v>
      </c>
    </row>
    <row r="851" spans="1:4" x14ac:dyDescent="0.35">
      <c r="A851" s="7">
        <f>DATE(2023, 3, 31)</f>
        <v>45016</v>
      </c>
      <c r="B851" s="5">
        <v>91.93</v>
      </c>
      <c r="C851" s="5">
        <v>96.13</v>
      </c>
      <c r="D851" s="5">
        <v>100.22</v>
      </c>
    </row>
    <row r="852" spans="1:4" x14ac:dyDescent="0.35">
      <c r="A852" s="7">
        <f>DATE(2023, 4, 3)</f>
        <v>45019</v>
      </c>
      <c r="B852" s="5">
        <v>95.75</v>
      </c>
      <c r="C852" s="5">
        <v>100.12</v>
      </c>
      <c r="D852" s="5">
        <v>104.4</v>
      </c>
    </row>
    <row r="853" spans="1:4" x14ac:dyDescent="0.35">
      <c r="A853" s="7">
        <f>DATE(2023, 4, 4)</f>
        <v>45020</v>
      </c>
      <c r="B853" s="5">
        <v>94.96</v>
      </c>
      <c r="C853" s="5">
        <v>99.31</v>
      </c>
      <c r="D853" s="5">
        <v>103.61</v>
      </c>
    </row>
    <row r="854" spans="1:4" x14ac:dyDescent="0.35">
      <c r="A854" s="7">
        <f>DATE(2023, 4, 5)</f>
        <v>45021</v>
      </c>
      <c r="B854" s="5">
        <v>96.63</v>
      </c>
      <c r="C854" s="5">
        <v>101.04</v>
      </c>
      <c r="D854" s="5">
        <v>105.45</v>
      </c>
    </row>
    <row r="855" spans="1:4" x14ac:dyDescent="0.35">
      <c r="A855" s="7">
        <f>DATE(2023, 4, 6)</f>
        <v>45022</v>
      </c>
      <c r="B855" s="5">
        <v>96.65</v>
      </c>
      <c r="C855" s="5">
        <v>101.1</v>
      </c>
      <c r="D855" s="5">
        <v>105.53</v>
      </c>
    </row>
    <row r="856" spans="1:4" x14ac:dyDescent="0.35">
      <c r="A856" s="7">
        <f>DATE(2023, 4, 7)</f>
        <v>45023</v>
      </c>
      <c r="B856" s="5"/>
      <c r="C856" s="5"/>
      <c r="D856" s="5"/>
    </row>
    <row r="857" spans="1:4" x14ac:dyDescent="0.35">
      <c r="A857" s="7">
        <f>DATE(2023, 4, 10)</f>
        <v>45026</v>
      </c>
      <c r="B857" s="5"/>
      <c r="C857" s="5"/>
      <c r="D857" s="5"/>
    </row>
    <row r="858" spans="1:4" x14ac:dyDescent="0.35">
      <c r="A858" s="7">
        <f>DATE(2023, 4, 11)</f>
        <v>45027</v>
      </c>
      <c r="B858" s="5"/>
      <c r="C858" s="5"/>
      <c r="D858" s="5"/>
    </row>
    <row r="859" spans="1:4" x14ac:dyDescent="0.35">
      <c r="A859" s="7">
        <f>DATE(2023, 4, 12)</f>
        <v>45028</v>
      </c>
      <c r="B859" s="5"/>
      <c r="C859" s="5"/>
      <c r="D859" s="5"/>
    </row>
    <row r="860" spans="1:4" x14ac:dyDescent="0.35">
      <c r="A860" s="7">
        <f>DATE(2023, 4, 13)</f>
        <v>45029</v>
      </c>
      <c r="B860" s="5"/>
      <c r="C860" s="5"/>
      <c r="D860" s="5"/>
    </row>
    <row r="861" spans="1:4" x14ac:dyDescent="0.35">
      <c r="A861" s="7">
        <f>DATE(2023, 4, 14)</f>
        <v>45030</v>
      </c>
      <c r="B861" s="5" t="str">
        <f>IF(ISERROR(_xll.Storm.ExcelMacros.GvDaily("/E.FEUAZ23", B$2, A861, "", "", "", , "", , , , , "/E.FEUAZ23", "Hundredths", , FALSE, )), , _xll.Storm.ExcelMacros.GvDaily("/E.FEUAZ23", B$2, A861, "", "", "", , "", , , , , "/E.FEUAZ23", "Hundredths", , FALSE, ))</f>
        <v>Unknown field ''</v>
      </c>
      <c r="C861" s="5"/>
      <c r="D861" s="5"/>
    </row>
  </sheetData>
  <pageMargins left="0.7" right="0.7" top="0.75" bottom="0.75" header="0.3" footer="0.3"/>
  <pageSetup paperSize="9" orientation="portrait" r:id="rId1"/>
  <headerFooter>
    <oddFooter>&amp;C&amp;1#&amp;"Calibri"&amp;10&amp;K000000Internal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 Reyes Napoles</dc:creator>
  <cp:lastModifiedBy>Erich Bruce EXT</cp:lastModifiedBy>
  <dcterms:created xsi:type="dcterms:W3CDTF">2022-08-26T06:56:00Z</dcterms:created>
  <dcterms:modified xsi:type="dcterms:W3CDTF">2023-04-14T13:29:39Z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vWorkbookVersion">
    <vt:i4>5</vt:i4>
  </property>
  <property fmtid="{D5CDD505-2E9C-101B-9397-08002B2CF9AE}" pid="3" name="MSIP_Label_2e952e98-911c-4aff-840a-f71bc6baaf7f_Enabled">
    <vt:lpwstr>true</vt:lpwstr>
  </property>
  <property fmtid="{D5CDD505-2E9C-101B-9397-08002B2CF9AE}" pid="4" name="MSIP_Label_2e952e98-911c-4aff-840a-f71bc6baaf7f_SetDate">
    <vt:lpwstr>2023-04-14T13:29:09Z</vt:lpwstr>
  </property>
  <property fmtid="{D5CDD505-2E9C-101B-9397-08002B2CF9AE}" pid="5" name="MSIP_Label_2e952e98-911c-4aff-840a-f71bc6baaf7f_Method">
    <vt:lpwstr>Standard</vt:lpwstr>
  </property>
  <property fmtid="{D5CDD505-2E9C-101B-9397-08002B2CF9AE}" pid="6" name="MSIP_Label_2e952e98-911c-4aff-840a-f71bc6baaf7f_Name">
    <vt:lpwstr>2e952e98-911c-4aff-840a-f71bc6baaf7f</vt:lpwstr>
  </property>
  <property fmtid="{D5CDD505-2E9C-101B-9397-08002B2CF9AE}" pid="7" name="MSIP_Label_2e952e98-911c-4aff-840a-f71bc6baaf7f_SiteId">
    <vt:lpwstr>e00ddcdf-1e0f-4be5-a37a-894a4731986a</vt:lpwstr>
  </property>
  <property fmtid="{D5CDD505-2E9C-101B-9397-08002B2CF9AE}" pid="8" name="MSIP_Label_2e952e98-911c-4aff-840a-f71bc6baaf7f_ActionId">
    <vt:lpwstr>920a21a2-c59e-40d9-b262-b63ffef50085</vt:lpwstr>
  </property>
  <property fmtid="{D5CDD505-2E9C-101B-9397-08002B2CF9AE}" pid="9" name="MSIP_Label_2e952e98-911c-4aff-840a-f71bc6baaf7f_ContentBits">
    <vt:lpwstr>2</vt:lpwstr>
  </property>
</Properties>
</file>